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245"/>
  </bookViews>
  <sheets>
    <sheet name="Sheet1" sheetId="1" r:id="rId1"/>
    <sheet name="Listing 2019" sheetId="2" state="hidden" r:id="rId2"/>
  </sheets>
  <definedNames>
    <definedName name="_xlnm._FilterDatabase" localSheetId="1" hidden="1">'Listing 2019'!$B$26:$AD$209</definedName>
  </definedNames>
  <calcPr calcId="145621"/>
</workbook>
</file>

<file path=xl/calcChain.xml><?xml version="1.0" encoding="utf-8"?>
<calcChain xmlns="http://schemas.openxmlformats.org/spreadsheetml/2006/main">
  <c r="V14" i="1" l="1"/>
  <c r="Q14" i="1"/>
  <c r="O19" i="1" l="1"/>
  <c r="V119" i="1" l="1"/>
  <c r="M1029" i="2" l="1"/>
  <c r="G1029" i="2"/>
  <c r="O1004" i="2"/>
  <c r="M996" i="2"/>
  <c r="G996" i="2"/>
  <c r="M993" i="2"/>
  <c r="M990" i="2"/>
  <c r="M987" i="2"/>
  <c r="O984" i="2"/>
  <c r="M984" i="2"/>
  <c r="M981" i="2"/>
  <c r="AF980" i="2"/>
  <c r="M980" i="2"/>
  <c r="M979" i="2"/>
  <c r="M978" i="2"/>
  <c r="P977" i="2"/>
  <c r="M977" i="2"/>
  <c r="P976" i="2"/>
  <c r="M976" i="2"/>
  <c r="P975" i="2"/>
  <c r="M975" i="2"/>
  <c r="M972" i="2"/>
  <c r="M968" i="2"/>
  <c r="P966" i="2"/>
  <c r="M966" i="2"/>
  <c r="M964" i="2"/>
  <c r="M962" i="2"/>
  <c r="M960" i="2"/>
  <c r="M958" i="2"/>
  <c r="P956" i="2"/>
  <c r="M956" i="2"/>
  <c r="M954" i="2"/>
  <c r="O945" i="2"/>
  <c r="M771" i="2"/>
  <c r="M735" i="2"/>
  <c r="AF606" i="2"/>
  <c r="X582" i="2"/>
  <c r="O582" i="2"/>
  <c r="P561" i="2"/>
  <c r="X461" i="2"/>
  <c r="Q403" i="2"/>
  <c r="Z337" i="2"/>
  <c r="A299" i="2"/>
  <c r="A300" i="2" s="1"/>
  <c r="A301" i="2" s="1"/>
  <c r="A302" i="2" s="1"/>
  <c r="A303" i="2" s="1"/>
  <c r="A304" i="2" s="1"/>
  <c r="A305" i="2" s="1"/>
  <c r="A292" i="2"/>
  <c r="A293" i="2" s="1"/>
  <c r="A294" i="2" s="1"/>
  <c r="A295" i="2" s="1"/>
  <c r="O289" i="2"/>
  <c r="A285" i="2"/>
  <c r="A276" i="2"/>
  <c r="A277" i="2" s="1"/>
  <c r="A278" i="2" s="1"/>
  <c r="A279" i="2" s="1"/>
  <c r="A280" i="2" s="1"/>
  <c r="A281" i="2" s="1"/>
  <c r="F270" i="2"/>
  <c r="A269" i="2"/>
  <c r="A264" i="2"/>
  <c r="X247" i="2"/>
  <c r="U247" i="2"/>
  <c r="V247" i="2" s="1"/>
  <c r="T247" i="2"/>
  <c r="R247" i="2"/>
  <c r="P247" i="2"/>
  <c r="M247" i="2"/>
  <c r="N247" i="2" s="1"/>
  <c r="J247" i="2"/>
  <c r="K247" i="2" s="1"/>
  <c r="I247" i="2"/>
  <c r="F247" i="2"/>
  <c r="X246" i="2"/>
  <c r="V246" i="2"/>
  <c r="U246" i="2"/>
  <c r="T246" i="2"/>
  <c r="R246" i="2"/>
  <c r="P246" i="2"/>
  <c r="O246" i="2"/>
  <c r="M246" i="2"/>
  <c r="N246" i="2" s="1"/>
  <c r="J246" i="2"/>
  <c r="L246" i="2" s="1"/>
  <c r="I246" i="2"/>
  <c r="F246" i="2"/>
  <c r="X245" i="2"/>
  <c r="U245" i="2"/>
  <c r="V245" i="2" s="1"/>
  <c r="T245" i="2"/>
  <c r="R245" i="2"/>
  <c r="O245" i="2"/>
  <c r="P245" i="2" s="1"/>
  <c r="M245" i="2"/>
  <c r="N245" i="2" s="1"/>
  <c r="L245" i="2"/>
  <c r="J245" i="2"/>
  <c r="K245" i="2" s="1"/>
  <c r="I245" i="2"/>
  <c r="F245" i="2"/>
  <c r="X244" i="2"/>
  <c r="U244" i="2"/>
  <c r="V244" i="2" s="1"/>
  <c r="T244" i="2"/>
  <c r="R244" i="2"/>
  <c r="O244" i="2"/>
  <c r="P244" i="2" s="1"/>
  <c r="M244" i="2"/>
  <c r="N244" i="2" s="1"/>
  <c r="J244" i="2"/>
  <c r="L244" i="2" s="1"/>
  <c r="I244" i="2"/>
  <c r="F244" i="2"/>
  <c r="X243" i="2"/>
  <c r="U243" i="2"/>
  <c r="V243" i="2" s="1"/>
  <c r="T243" i="2"/>
  <c r="R243" i="2"/>
  <c r="O243" i="2"/>
  <c r="P243" i="2" s="1"/>
  <c r="M243" i="2"/>
  <c r="N243" i="2" s="1"/>
  <c r="J243" i="2"/>
  <c r="L243" i="2" s="1"/>
  <c r="I243" i="2"/>
  <c r="F243" i="2"/>
  <c r="O206" i="2"/>
  <c r="M206" i="2" s="1"/>
  <c r="G206" i="2"/>
  <c r="O205" i="2"/>
  <c r="M205" i="2" s="1"/>
  <c r="G205" i="2"/>
  <c r="Y204" i="2"/>
  <c r="M204" i="2"/>
  <c r="G204" i="2"/>
  <c r="M203" i="2"/>
  <c r="G203" i="2"/>
  <c r="M202" i="2"/>
  <c r="G202" i="2"/>
  <c r="M201" i="2"/>
  <c r="G201" i="2"/>
  <c r="M200" i="2"/>
  <c r="G200" i="2"/>
  <c r="M199" i="2"/>
  <c r="G199" i="2"/>
  <c r="M198" i="2"/>
  <c r="G198" i="2"/>
  <c r="M197" i="2"/>
  <c r="G197" i="2"/>
  <c r="M196" i="2"/>
  <c r="G196" i="2"/>
  <c r="O195" i="2"/>
  <c r="M195" i="2" s="1"/>
  <c r="G195" i="2"/>
  <c r="M194" i="2"/>
  <c r="G194" i="2"/>
  <c r="M193" i="2"/>
  <c r="G193" i="2"/>
  <c r="M192" i="2"/>
  <c r="G192" i="2"/>
  <c r="M191" i="2"/>
  <c r="G191" i="2"/>
  <c r="M190" i="2"/>
  <c r="G190" i="2"/>
  <c r="M189" i="2"/>
  <c r="G189" i="2"/>
  <c r="M188" i="2"/>
  <c r="G188" i="2"/>
  <c r="O187" i="2"/>
  <c r="M187" i="2" s="1"/>
  <c r="G187" i="2"/>
  <c r="M186" i="2"/>
  <c r="G186" i="2"/>
  <c r="M185" i="2"/>
  <c r="G185" i="2"/>
  <c r="M184" i="2"/>
  <c r="G184" i="2"/>
  <c r="M183" i="2"/>
  <c r="G183" i="2"/>
  <c r="M182" i="2"/>
  <c r="G182" i="2"/>
  <c r="M181" i="2"/>
  <c r="G181" i="2"/>
  <c r="M180" i="2"/>
  <c r="G180" i="2"/>
  <c r="O179" i="2"/>
  <c r="M179" i="2" s="1"/>
  <c r="G179" i="2"/>
  <c r="M178" i="2"/>
  <c r="G178" i="2"/>
  <c r="M177" i="2"/>
  <c r="G177" i="2"/>
  <c r="M176" i="2"/>
  <c r="G176" i="2"/>
  <c r="M175" i="2"/>
  <c r="G175" i="2"/>
  <c r="M174" i="2"/>
  <c r="G174" i="2"/>
  <c r="M173" i="2"/>
  <c r="G173" i="2"/>
  <c r="M172" i="2"/>
  <c r="G172" i="2"/>
  <c r="O171" i="2"/>
  <c r="M171" i="2" s="1"/>
  <c r="G171" i="2"/>
  <c r="O170" i="2"/>
  <c r="M170" i="2" s="1"/>
  <c r="G170" i="2"/>
  <c r="O169" i="2"/>
  <c r="M169" i="2" s="1"/>
  <c r="G169" i="2"/>
  <c r="M168" i="2"/>
  <c r="G168" i="2"/>
  <c r="M167" i="2"/>
  <c r="G167" i="2"/>
  <c r="M166" i="2"/>
  <c r="G166" i="2"/>
  <c r="O165" i="2"/>
  <c r="M165" i="2" s="1"/>
  <c r="G165" i="2"/>
  <c r="M164" i="2"/>
  <c r="G164" i="2"/>
  <c r="M163" i="2"/>
  <c r="G163" i="2"/>
  <c r="AA162" i="2"/>
  <c r="Q162" i="2"/>
  <c r="M162" i="2"/>
  <c r="G162" i="2"/>
  <c r="O161" i="2"/>
  <c r="M161" i="2" s="1"/>
  <c r="G161" i="2"/>
  <c r="M160" i="2"/>
  <c r="G160" i="2"/>
  <c r="M159" i="2"/>
  <c r="G159" i="2"/>
  <c r="M158" i="2"/>
  <c r="G158" i="2"/>
  <c r="M157" i="2"/>
  <c r="G157" i="2"/>
  <c r="M156" i="2"/>
  <c r="G156" i="2"/>
  <c r="M155" i="2"/>
  <c r="G155" i="2"/>
  <c r="M154" i="2"/>
  <c r="G154" i="2"/>
  <c r="M153" i="2"/>
  <c r="G153" i="2"/>
  <c r="M152" i="2"/>
  <c r="G152" i="2"/>
  <c r="M151" i="2"/>
  <c r="G151" i="2"/>
  <c r="M150" i="2"/>
  <c r="G150" i="2"/>
  <c r="M149" i="2"/>
  <c r="G149" i="2"/>
  <c r="O148" i="2"/>
  <c r="N148" i="2"/>
  <c r="G148" i="2"/>
  <c r="O147" i="2"/>
  <c r="M147" i="2" s="1"/>
  <c r="G147" i="2"/>
  <c r="O146" i="2"/>
  <c r="M146" i="2" s="1"/>
  <c r="G146" i="2"/>
  <c r="M145" i="2"/>
  <c r="G145" i="2"/>
  <c r="M144" i="2"/>
  <c r="G144" i="2"/>
  <c r="M143" i="2"/>
  <c r="G143" i="2"/>
  <c r="O142" i="2"/>
  <c r="M142" i="2"/>
  <c r="G142" i="2"/>
  <c r="O141" i="2"/>
  <c r="M141" i="2" s="1"/>
  <c r="G141" i="2"/>
  <c r="M140" i="2"/>
  <c r="G140" i="2"/>
  <c r="M139" i="2"/>
  <c r="G139" i="2"/>
  <c r="M138" i="2"/>
  <c r="G138" i="2"/>
  <c r="M137" i="2"/>
  <c r="G137" i="2"/>
  <c r="M136" i="2"/>
  <c r="G136" i="2"/>
  <c r="M135" i="2"/>
  <c r="G135" i="2"/>
  <c r="M134" i="2"/>
  <c r="G134" i="2"/>
  <c r="M133" i="2"/>
  <c r="G133" i="2"/>
  <c r="M132" i="2"/>
  <c r="G132" i="2"/>
  <c r="O131" i="2"/>
  <c r="M131" i="2"/>
  <c r="G131" i="2"/>
  <c r="M130" i="2"/>
  <c r="G130" i="2"/>
  <c r="O129" i="2"/>
  <c r="M129" i="2" s="1"/>
  <c r="G129" i="2"/>
  <c r="M128" i="2"/>
  <c r="G128" i="2"/>
  <c r="M127" i="2"/>
  <c r="G127" i="2"/>
  <c r="M126" i="2"/>
  <c r="G126" i="2"/>
  <c r="M125" i="2"/>
  <c r="G125" i="2"/>
  <c r="M124" i="2"/>
  <c r="G124" i="2"/>
  <c r="M123" i="2"/>
  <c r="G123" i="2"/>
  <c r="M122" i="2"/>
  <c r="G122" i="2"/>
  <c r="M121" i="2"/>
  <c r="G121" i="2"/>
  <c r="M120" i="2"/>
  <c r="G120" i="2"/>
  <c r="M119" i="2"/>
  <c r="G119" i="2"/>
  <c r="O118" i="2"/>
  <c r="M118" i="2" s="1"/>
  <c r="G118" i="2"/>
  <c r="M117" i="2"/>
  <c r="G117" i="2"/>
  <c r="M116" i="2"/>
  <c r="G116" i="2"/>
  <c r="W115" i="2"/>
  <c r="M115" i="2"/>
  <c r="G115" i="2"/>
  <c r="M114" i="2"/>
  <c r="G114" i="2"/>
  <c r="M113" i="2"/>
  <c r="G113" i="2"/>
  <c r="M112" i="2"/>
  <c r="G112" i="2"/>
  <c r="M111" i="2"/>
  <c r="G111" i="2"/>
  <c r="M110" i="2"/>
  <c r="G110" i="2"/>
  <c r="M109" i="2"/>
  <c r="G109" i="2"/>
  <c r="M108" i="2"/>
  <c r="G108" i="2"/>
  <c r="M107" i="2"/>
  <c r="G107" i="2"/>
  <c r="M106" i="2"/>
  <c r="G106" i="2"/>
  <c r="M105" i="2"/>
  <c r="G105" i="2"/>
  <c r="M104" i="2"/>
  <c r="G104" i="2"/>
  <c r="M103" i="2"/>
  <c r="G103" i="2"/>
  <c r="M102" i="2"/>
  <c r="G102" i="2"/>
  <c r="M101" i="2"/>
  <c r="G101" i="2"/>
  <c r="M100" i="2"/>
  <c r="G100" i="2"/>
  <c r="M98" i="2"/>
  <c r="G98" i="2"/>
  <c r="M97" i="2"/>
  <c r="G97" i="2"/>
  <c r="O96" i="2"/>
  <c r="M96" i="2" s="1"/>
  <c r="G96" i="2"/>
  <c r="M95" i="2"/>
  <c r="G95" i="2"/>
  <c r="O94" i="2"/>
  <c r="M94" i="2" s="1"/>
  <c r="N94" i="2"/>
  <c r="G94" i="2"/>
  <c r="M93" i="2"/>
  <c r="G93" i="2"/>
  <c r="O92" i="2"/>
  <c r="M92" i="2" s="1"/>
  <c r="G92" i="2"/>
  <c r="M91" i="2"/>
  <c r="G91" i="2"/>
  <c r="O90" i="2"/>
  <c r="M90" i="2"/>
  <c r="G90" i="2"/>
  <c r="M89" i="2"/>
  <c r="G89" i="2"/>
  <c r="M88" i="2"/>
  <c r="G88" i="2"/>
  <c r="AU87" i="2"/>
  <c r="M87" i="2"/>
  <c r="G87" i="2"/>
  <c r="M86" i="2"/>
  <c r="G86" i="2"/>
  <c r="M85" i="2"/>
  <c r="G85" i="2"/>
  <c r="M84" i="2"/>
  <c r="G84" i="2"/>
  <c r="M83" i="2"/>
  <c r="G83" i="2"/>
  <c r="O82" i="2"/>
  <c r="M82" i="2" s="1"/>
  <c r="N82" i="2"/>
  <c r="G82" i="2"/>
  <c r="O81" i="2"/>
  <c r="M81" i="2"/>
  <c r="G81" i="2"/>
  <c r="O80" i="2"/>
  <c r="M80" i="2" s="1"/>
  <c r="G80" i="2"/>
  <c r="O79" i="2"/>
  <c r="M79" i="2" s="1"/>
  <c r="G79" i="2"/>
  <c r="M78" i="2"/>
  <c r="G78" i="2"/>
  <c r="M77" i="2"/>
  <c r="G77" i="2"/>
  <c r="M76" i="2"/>
  <c r="G76" i="2"/>
  <c r="M75" i="2"/>
  <c r="G75" i="2"/>
  <c r="M74" i="2"/>
  <c r="G74" i="2"/>
  <c r="M73" i="2"/>
  <c r="G73" i="2"/>
  <c r="O72" i="2"/>
  <c r="N72" i="2"/>
  <c r="G72" i="2"/>
  <c r="M71" i="2"/>
  <c r="G71" i="2"/>
  <c r="M70" i="2"/>
  <c r="G70" i="2"/>
  <c r="M69" i="2"/>
  <c r="G69" i="2"/>
  <c r="M68" i="2"/>
  <c r="G68" i="2"/>
  <c r="M67" i="2"/>
  <c r="G67" i="2"/>
  <c r="M66" i="2"/>
  <c r="G66" i="2"/>
  <c r="M65" i="2"/>
  <c r="G65" i="2"/>
  <c r="M64" i="2"/>
  <c r="G64" i="2"/>
  <c r="M63" i="2"/>
  <c r="G63" i="2"/>
  <c r="M62" i="2"/>
  <c r="G62" i="2"/>
  <c r="M61" i="2"/>
  <c r="G61" i="2"/>
  <c r="O60" i="2"/>
  <c r="M60" i="2" s="1"/>
  <c r="G60" i="2"/>
  <c r="O59" i="2"/>
  <c r="M59" i="2" s="1"/>
  <c r="G59" i="2"/>
  <c r="O58" i="2"/>
  <c r="M58" i="2"/>
  <c r="G58" i="2"/>
  <c r="M57" i="2"/>
  <c r="G57" i="2"/>
  <c r="O56" i="2"/>
  <c r="M56" i="2"/>
  <c r="G56" i="2"/>
  <c r="M55" i="2"/>
  <c r="G55" i="2"/>
  <c r="O54" i="2"/>
  <c r="M54" i="2" s="1"/>
  <c r="G54" i="2"/>
  <c r="O53" i="2"/>
  <c r="M53" i="2" s="1"/>
  <c r="G53" i="2"/>
  <c r="M52" i="2"/>
  <c r="G52" i="2"/>
  <c r="M51" i="2"/>
  <c r="G51" i="2"/>
  <c r="M50" i="2"/>
  <c r="G50" i="2"/>
  <c r="M49" i="2"/>
  <c r="G49" i="2"/>
  <c r="M48" i="2"/>
  <c r="G48" i="2"/>
  <c r="M47" i="2"/>
  <c r="G47" i="2"/>
  <c r="M46" i="2"/>
  <c r="G46" i="2"/>
  <c r="M45" i="2"/>
  <c r="G45" i="2"/>
  <c r="M44" i="2"/>
  <c r="G44" i="2"/>
  <c r="O43" i="2"/>
  <c r="M43" i="2" s="1"/>
  <c r="G43" i="2"/>
  <c r="O42" i="2"/>
  <c r="M42" i="2" s="1"/>
  <c r="G42" i="2"/>
  <c r="M41" i="2"/>
  <c r="G41" i="2"/>
  <c r="M40" i="2"/>
  <c r="G40" i="2"/>
  <c r="M39" i="2"/>
  <c r="G39" i="2"/>
  <c r="M38" i="2"/>
  <c r="G38" i="2"/>
  <c r="M37" i="2"/>
  <c r="G37" i="2"/>
  <c r="B37" i="2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M36" i="2"/>
  <c r="G36" i="2"/>
  <c r="M35" i="2"/>
  <c r="G35" i="2"/>
  <c r="P34" i="2"/>
  <c r="M34" i="2"/>
  <c r="G34" i="2"/>
  <c r="P33" i="2"/>
  <c r="M33" i="2"/>
  <c r="G33" i="2"/>
  <c r="P32" i="2"/>
  <c r="M32" i="2"/>
  <c r="G32" i="2"/>
  <c r="Q31" i="2"/>
  <c r="O31" i="2"/>
  <c r="M31" i="2" s="1"/>
  <c r="G31" i="2"/>
  <c r="Q30" i="2"/>
  <c r="M30" i="2"/>
  <c r="G30" i="2"/>
  <c r="P29" i="2"/>
  <c r="M29" i="2"/>
  <c r="G29" i="2"/>
  <c r="O28" i="2"/>
  <c r="M28" i="2" s="1"/>
  <c r="G28" i="2"/>
  <c r="P27" i="2"/>
  <c r="M27" i="2"/>
  <c r="G27" i="2"/>
  <c r="B27" i="2"/>
  <c r="B28" i="2" s="1"/>
  <c r="B29" i="2" s="1"/>
  <c r="B30" i="2" s="1"/>
  <c r="B31" i="2" s="1"/>
  <c r="B32" i="2" s="1"/>
  <c r="B33" i="2" s="1"/>
  <c r="B34" i="2" s="1"/>
  <c r="B35" i="2" s="1"/>
  <c r="P26" i="2"/>
  <c r="M26" i="2"/>
  <c r="G26" i="2"/>
  <c r="M25" i="2"/>
  <c r="G25" i="2"/>
  <c r="M24" i="2"/>
  <c r="G24" i="2"/>
  <c r="Q23" i="2"/>
  <c r="O23" i="2"/>
  <c r="M23" i="2" s="1"/>
  <c r="G23" i="2"/>
  <c r="P22" i="2"/>
  <c r="M22" i="2"/>
  <c r="G22" i="2"/>
  <c r="M21" i="2"/>
  <c r="G21" i="2"/>
  <c r="O20" i="2"/>
  <c r="M20" i="2" s="1"/>
  <c r="G20" i="2"/>
  <c r="Q19" i="2"/>
  <c r="O19" i="2"/>
  <c r="M19" i="2" s="1"/>
  <c r="G19" i="2"/>
  <c r="Q18" i="2"/>
  <c r="O18" i="2"/>
  <c r="M18" i="2" s="1"/>
  <c r="G18" i="2"/>
  <c r="Q17" i="2"/>
  <c r="O17" i="2"/>
  <c r="N17" i="2"/>
  <c r="G17" i="2"/>
  <c r="P16" i="2"/>
  <c r="M16" i="2"/>
  <c r="G16" i="2"/>
  <c r="P15" i="2"/>
  <c r="M15" i="2"/>
  <c r="G15" i="2"/>
  <c r="M14" i="2"/>
  <c r="G14" i="2"/>
  <c r="M13" i="2"/>
  <c r="G13" i="2"/>
  <c r="P12" i="2"/>
  <c r="M12" i="2"/>
  <c r="G12" i="2"/>
  <c r="Q11" i="2"/>
  <c r="O11" i="2"/>
  <c r="M11" i="2" s="1"/>
  <c r="G11" i="2"/>
  <c r="M10" i="2"/>
  <c r="G10" i="2"/>
  <c r="P9" i="2"/>
  <c r="M9" i="2"/>
  <c r="G9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M8" i="2"/>
  <c r="G8" i="2"/>
  <c r="V49" i="1"/>
  <c r="V104" i="1"/>
  <c r="V111" i="1"/>
  <c r="V133" i="1"/>
  <c r="V44" i="1"/>
  <c r="V9" i="1"/>
  <c r="V155" i="1"/>
  <c r="V73" i="1"/>
  <c r="V103" i="1"/>
  <c r="V128" i="1"/>
  <c r="V134" i="1"/>
  <c r="V102" i="1"/>
  <c r="V47" i="1"/>
  <c r="V108" i="1"/>
  <c r="V124" i="1"/>
  <c r="V148" i="1"/>
  <c r="V123" i="1"/>
  <c r="V143" i="1"/>
  <c r="V101" i="1"/>
  <c r="V100" i="1"/>
  <c r="V99" i="1"/>
  <c r="V125" i="1"/>
  <c r="V98" i="1"/>
  <c r="V127" i="1"/>
  <c r="V97" i="1"/>
  <c r="V61" i="1"/>
  <c r="V58" i="1"/>
  <c r="V116" i="1"/>
  <c r="V53" i="1"/>
  <c r="V132" i="1"/>
  <c r="V38" i="1"/>
  <c r="V22" i="1"/>
  <c r="V162" i="1"/>
  <c r="V110" i="1"/>
  <c r="V52" i="1"/>
  <c r="V115" i="1"/>
  <c r="V67" i="1"/>
  <c r="V151" i="1"/>
  <c r="V138" i="1"/>
  <c r="V177" i="1"/>
  <c r="V96" i="1"/>
  <c r="V159" i="1"/>
  <c r="V142" i="1"/>
  <c r="V95" i="1"/>
  <c r="V72" i="1"/>
  <c r="V63" i="1"/>
  <c r="V94" i="1"/>
  <c r="V93" i="1"/>
  <c r="V59" i="1"/>
  <c r="V92" i="1"/>
  <c r="V145" i="1"/>
  <c r="V20" i="1"/>
  <c r="V107" i="1"/>
  <c r="V91" i="1"/>
  <c r="V69" i="1"/>
  <c r="V90" i="1"/>
  <c r="V167" i="1"/>
  <c r="V117" i="1"/>
  <c r="V57" i="1"/>
  <c r="V89" i="1"/>
  <c r="V88" i="1"/>
  <c r="V166" i="1"/>
  <c r="V70" i="1"/>
  <c r="V60" i="1"/>
  <c r="V87" i="1"/>
  <c r="V86" i="1"/>
  <c r="V175" i="1"/>
  <c r="V169" i="1"/>
  <c r="V28" i="1"/>
  <c r="V27" i="1"/>
  <c r="V139" i="1"/>
  <c r="V85" i="1"/>
  <c r="V164" i="1"/>
  <c r="V172" i="1"/>
  <c r="V105" i="1"/>
  <c r="V126" i="1"/>
  <c r="V171" i="1"/>
  <c r="V173" i="1"/>
  <c r="V23" i="1"/>
  <c r="V75" i="1"/>
  <c r="V71" i="1"/>
  <c r="V140" i="1"/>
  <c r="V84" i="1"/>
  <c r="V165" i="1"/>
  <c r="V21" i="1"/>
  <c r="V83" i="1"/>
  <c r="V82" i="1"/>
  <c r="V137" i="1"/>
  <c r="V65" i="1"/>
  <c r="V7" i="1"/>
  <c r="V46" i="1"/>
  <c r="V68" i="1"/>
  <c r="V54" i="1"/>
  <c r="V153" i="1"/>
  <c r="V141" i="1"/>
  <c r="V13" i="1"/>
  <c r="V36" i="1"/>
  <c r="V18" i="1"/>
  <c r="V19" i="1"/>
  <c r="V15" i="1"/>
  <c r="V17" i="1"/>
  <c r="V41" i="1"/>
  <c r="V48" i="1"/>
  <c r="V11" i="1"/>
  <c r="V37" i="1"/>
  <c r="V150" i="1"/>
  <c r="V135" i="1"/>
  <c r="V81" i="1"/>
  <c r="V32" i="1"/>
  <c r="V30" i="1"/>
  <c r="V147" i="1"/>
  <c r="V161" i="1"/>
  <c r="V66" i="1"/>
  <c r="V45" i="1"/>
  <c r="V43" i="1"/>
  <c r="V178" i="1"/>
  <c r="V10" i="1"/>
  <c r="V6" i="1"/>
  <c r="V16" i="1"/>
  <c r="V130" i="1"/>
  <c r="V170" i="1"/>
  <c r="V8" i="1"/>
  <c r="V136" i="1"/>
  <c r="V39" i="1"/>
  <c r="V112" i="1"/>
  <c r="V55" i="1"/>
  <c r="V158" i="1"/>
  <c r="V176" i="1"/>
  <c r="V179" i="1"/>
  <c r="V5" i="1"/>
  <c r="V152" i="1"/>
  <c r="V157" i="1"/>
  <c r="V29" i="1"/>
  <c r="V34" i="1"/>
  <c r="V26" i="1"/>
  <c r="V80" i="1"/>
  <c r="V25" i="1"/>
  <c r="V180" i="1"/>
  <c r="V114" i="1"/>
  <c r="V144" i="1"/>
  <c r="V40" i="1"/>
  <c r="V56" i="1"/>
  <c r="V146" i="1"/>
  <c r="V131" i="1"/>
  <c r="V163" i="1"/>
  <c r="V50" i="1"/>
  <c r="V35" i="1"/>
  <c r="V168" i="1"/>
  <c r="V79" i="1"/>
  <c r="V109" i="1"/>
  <c r="V156" i="1"/>
  <c r="V129" i="1"/>
  <c r="V149" i="1"/>
  <c r="V160" i="1"/>
  <c r="V121" i="1"/>
  <c r="V31" i="1"/>
  <c r="V24" i="1"/>
  <c r="V33" i="1"/>
  <c r="V64" i="1"/>
  <c r="V106" i="1"/>
  <c r="V174" i="1"/>
  <c r="V154" i="1"/>
  <c r="V78" i="1"/>
  <c r="V42" i="1"/>
  <c r="V122" i="1"/>
  <c r="V77" i="1"/>
  <c r="V51" i="1"/>
  <c r="V113" i="1"/>
  <c r="V120" i="1"/>
  <c r="V12" i="1"/>
  <c r="V62" i="1"/>
  <c r="V76" i="1"/>
  <c r="V118" i="1"/>
  <c r="M148" i="2" l="1"/>
  <c r="M72" i="2"/>
  <c r="L247" i="2"/>
  <c r="K243" i="2"/>
  <c r="AF72" i="2"/>
  <c r="P31" i="2"/>
  <c r="D212" i="2"/>
  <c r="C208" i="2"/>
  <c r="O207" i="2"/>
  <c r="D213" i="2" s="1"/>
  <c r="P28" i="2"/>
  <c r="Q20" i="2"/>
  <c r="D214" i="2"/>
  <c r="M17" i="2"/>
  <c r="M207" i="2"/>
  <c r="P30" i="2"/>
  <c r="K244" i="2"/>
  <c r="K246" i="2"/>
  <c r="E214" i="2" l="1"/>
  <c r="D215" i="2"/>
  <c r="E215" i="2" s="1"/>
  <c r="O209" i="2"/>
</calcChain>
</file>

<file path=xl/comments1.xml><?xml version="1.0" encoding="utf-8"?>
<comments xmlns="http://schemas.openxmlformats.org/spreadsheetml/2006/main">
  <authors>
    <author>Manaljav</author>
    <author>Dell</author>
    <author>USR0208</author>
    <author>Оюундэлгэр. Б</author>
    <author>Маналжав .А</author>
    <author>Enkhtuya</author>
    <author>BZ</author>
    <author>Enkhtuya mse</author>
    <author>Ганзул Лувсандорж</author>
    <author>mse</author>
    <author>USR0203</author>
    <author>USR0601</author>
    <author>Ариунтуяа</author>
    <author>enkhtuya</author>
    <author>pc</author>
  </authors>
  <commentList>
    <comment ref="O11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CЗХ-ны 2014.06.25-ны 249 тоот тогтоол, МХБ-ийн 2014.11.11-ний 180 тоот тушаалаар нэг бүр нь 100 төгрөгийн нэрлэсэн үнэ бүхий 63 298 401 ширхэг хувьцаагаар нэмэгдсэн.
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CЗХ-ны 2014.06.25-ны 249 тоот тогтоол, МХБ-ийн 2014.11.11-ний 180 тоот тушаалаар нэг бүр нь 100 төгрөгийн нэрлэсэн үнэ бүхий 63 298 401 ширхэг хувьцаагаар нэмэгдсэн.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СЗХ-ны 2013.09.18-ны өдрийн 290 тоот тогтоол, 2014 оны 200 тоот тогтоол, МХБ-ийн ГЗ-ийн 2014.12.18-ны өдрийн 215 тоот тушаалаар 15,477,101 ширхэг хувьцааг 95,992,045 ширхэг болгосон.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СЗХ-ны 2013.09.18-ны өдрийн 290 тоот тогтоол, 2014 оны 200 тоот тогтоол, МХБ-ийн ГЗ-ийн 2014.12.18-ны өдрийн 215 тоот тушаалаар 15,477,101 ширхэг хувьцааг 95,992,045 ширхэг болгосон.</t>
        </r>
      </text>
    </comment>
    <comment ref="O17" authorId="2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2016.10.07-ны өдрийн 373 дугаар тушаалаар нэгж хувьцааг 1:4 хувааж 25 төгрөгийн нэрлэсэн үнэтэй 72853780 ширхэг хувьцаатай болсон.</t>
        </r>
      </text>
    </comment>
    <comment ref="Q17" authorId="2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2016.10.07-ны өдрийн 373 дугаар тушаалаар нэгж хувьцааг 1:4 хувааж 25 төгрөгийн нэрлэсэн үнэтэй 72853780 ширхэг хувьцаатай болсон.</t>
        </r>
      </text>
    </comment>
    <comment ref="O18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СЗХ-ны 2013 оны 02 сарын 27-ны өдрийн 55 тоот тогтоол, МХБ-ийн ГЗ-ын 2014 оны 11 сарын 11-ний өдрийн 181 тоот тушаалаар 29770927 ширхэг хувьцааг нэмж бүртгэсэн. 
CЗХ-ны 2015.08.28-ны 347 тоот тогтоол, МХБ-
ийн ГЗ-ын 2015.09.17-ны 271 тоот тушаалаар нэг бүр нь 100 төг-н нэрлэсэн үнэтэй 621 503 902 ш хувьцаагаар нэмэгдүүлсэн.
</t>
        </r>
      </text>
    </comment>
    <comment ref="Q18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СЗХ-ны 2013 оны 02 сарын 27-ны өдрийн 55 тоот тогтоол, МХБ-ийн ГЗ-ын 2014 оны 11 сарын 11-ний өдрийн 181 тоот тушаалаар 29770927 ширхэг хувьцааг нэмж бүртгэсэн. 
CЗХ-ны 2015.08.28-ны 347 тоот тогтоол, МХБ-
ийн ГЗ-ын 2015.09.17-ны 271 тоот тушаалаар нэг бүр нь 100 төг-н нэрлэсэн үнэтэй 621 503 902 ш хувьцаагаар нэмэгдүүлсэн.
</t>
        </r>
      </text>
    </comment>
    <comment ref="O19" authorId="3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2016 оны 12 дугаар сарын 13-ны өдрийн 446 дугаар тушаалаар 200162912 ширхэг хувьцааг нэмж бүртгэсэн. 2018.04.05-ны өдрийн 68 тоот Сангийн сайдын тушаалаар 12465936 ширхэг нэмж бүртгэсэн.
</t>
        </r>
      </text>
    </comment>
    <comment ref="Q19" authorId="3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2016 оны 12 дугаар сарын 13-ны өдрийн 446 дугаар тушаалаар 200162912 ширхэг хувьцааг нэмж бүртгэсэн. 2018.04.05-ны өдрийн 68 тоот Сангийн сайдын тушаалаар 12465936 ширхэг нэмж бүртгэсэн.
</t>
        </r>
      </text>
    </comment>
    <comment ref="O20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ТӨХ-ны 2011.3.10-ны 68 тоот, СЗХ-2012.02.15-ны 40 тоотоор 207051000ш-ийг нэмэв.</t>
        </r>
      </text>
    </comment>
    <comment ref="O23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ГЗ-ийн 2016 оны 12 дугаар сарын 09-ний өдрийн 439 дугаар тушаалаар 853084673 ширхэг хувьцааг нэмж бүртгэсэн.</t>
        </r>
      </text>
    </comment>
    <comment ref="Q23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ГЗ-ийн 2016 оны 12 дугаар сарын 09-ний өдрийн 439 дугаар тушаалаар 853084673 ширхэг хувьцааг нэмж бүртгэсэн.</t>
        </r>
      </text>
    </comment>
    <comment ref="O25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СЗХ-ны 2014.10.08-ны өдрийн 357 тоот тогтоол, МХБ-ийн ГЗ-ийн 2014.12.18-ны өдрийн 216 тоот тушаалаар 101,974,326 ширхэг хувьцааг 194,474,567 ширхэг болгон өөрчилсөн.</t>
        </r>
      </text>
    </comment>
    <comment ref="Q25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СЗХ-ны 2014.10.08-ны өдрийн 357 тоот тогтоол, МХБ-ийн ГЗ-ийн 2014.12.18-ны өдрийн 216 тоот тушаалаар 101,974,326 ширхэг хувьцааг 194,474,567 ширхэг болгон өөрчилсөн.</t>
        </r>
      </text>
    </comment>
    <comment ref="O28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2016.05.18-ны өдрийн МХБ-ийн ГЗ-ийн 193 дугаар тушаалаар 9 870 287 ширхэг хувьцааг нэмж бүртгэсэн. СЗХ-ны 2016.09.21-ний өдрийн 266 дугаар тогтоол, МХБ-ийн 2016.10.07-ны өдрийн 375 дугаар тушаалаар 9870287 ширхэг хувьцааг бүртгэлээс хасав.</t>
        </r>
      </text>
    </comment>
    <comment ref="Q30" authorId="4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2018.09.19нд тендер саналаар 7572 ширхэг хувьцааг худалдан авсан.
</t>
        </r>
      </text>
    </comment>
    <comment ref="O31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ГЗ-ын 2011.9.12-ны 173 тушаалаар 100төг*526,652ш-ийг 1 төг*52,665,200ш болгов /1:100/
</t>
        </r>
      </text>
    </comment>
    <comment ref="O42" authorId="5">
      <text>
        <r>
          <rPr>
            <b/>
            <sz val="8"/>
            <color indexed="81"/>
            <rFont val="Tahoma"/>
            <family val="2"/>
          </rPr>
          <t>Enkhtuya:</t>
        </r>
        <r>
          <rPr>
            <sz val="8"/>
            <color indexed="81"/>
            <rFont val="Tahoma"/>
            <family val="2"/>
          </rPr>
          <t xml:space="preserve">
СЗХ-ны 2010.01.27-ны 29 тоотоор анхдагчид арилжигдаагүй 696909 ш-ийг хасав
</t>
        </r>
      </text>
    </comment>
    <comment ref="O43" authorId="6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СЗХ-2008-06-12-ны 144 тоот, МХБ-ийн ГЗ-ийн 2008-07-04-ний 102 тоотоор 1:100 болгоод 74 287 700 ширхэгтэй болсон./ Нэгжийн үнэ 1 төгрөг/
МХБ-ийн ГЗ-ийн 2016.05.12-ны өдрийн 186 тоот тушаалаар 1:10 болгон хувааж 742877000 ширхэг хувьцаа болгон бүртгэлд өөрчлөлт оруулсан.
МХБ-ийн ГЗ-ын 2017/10/23-ны өдрийн 199 тоот тушаал, СЗХ-ны 2017/11/24-ний 224 тоот тогтоолоор "Эвэргрийн Инвестинг" ХХК-г нэгтгэж, 321,304,553 ширхэг хувьцаагаар нэмэгдүүлж нийт хувьцааны тоо 1,064,181,553 ширхэг хувьцаатай болсон байна.</t>
        </r>
      </text>
    </comment>
    <comment ref="C48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2012.09.12 -ны өдрийн 282 тоот тушаал, МХБ-ийн 2012.10.18-ны өдрийн 134 тоот тушаалаар 100 төг-н нэрлэсэн үнийг 18000 төгрөг болгон өөрчилсөн байна.</t>
        </r>
      </text>
    </comment>
    <comment ref="O53" authorId="6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ХК-ийн 2008-04-11-ны ХНХ-ын 05 тоотоор нэрлэсэн үнийг 10 000 төг байсныг 61 500 төг болгов. /ГЗ-ын 2009-01-23-ны 17 тоот/</t>
        </r>
      </text>
    </comment>
    <comment ref="O54" authorId="3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СЗХ-ны 2018.12.14-ний 374 тоот, МХБ-ийн 2018.06.26-ны өдрийн А/81 тоот тушаалаар Монгорү матрикс ББСБ ХХК-ийн 100 төгрөгийн нэрлэсэн үнэтэй 19,720,000 ширхэг нэгтгэж нийт 19,922,679 ширхэг хувьцааг бүртгэв.</t>
        </r>
      </text>
    </comment>
    <comment ref="O55" authorId="5">
      <text>
        <r>
          <rPr>
            <b/>
            <sz val="9"/>
            <color indexed="81"/>
            <rFont val="Tahoma"/>
            <family val="2"/>
          </rPr>
          <t>Enkhtuya:</t>
        </r>
        <r>
          <rPr>
            <sz val="9"/>
            <color indexed="81"/>
            <rFont val="Tahoma"/>
            <family val="2"/>
          </rPr>
          <t xml:space="preserve">
Dell:
СЗХ-ны 2012.7.4-ний 212 тоотыг үндэслэн МХБ-ийн ГЗ-ийн 2012.8.14-ний 95 дугаар тушаалаар нэрлэсэн үнэ 323065ш нь 100 төг, 17100 ш нь 255 төг, 82900 ш нь 220 төг байсныг өөрчилж ижилхэн 130 төг болгов</t>
        </r>
      </text>
    </comment>
    <comment ref="O58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267 тоот тогтоол, МХБ-ийн ГЗ-ын 2014.8.19-ний 127 дугаар тушаалаар 100 төгрөгийн үнэтэй 6,000,000ш-г нэмж хувьцааны тоог 17,000,000ш болгов.
</t>
        </r>
      </text>
    </comment>
    <comment ref="C59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O59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ГЗ-ын 2014.10.3-ны 153 тоотуудын дагуу Баянхайрхан ХК-ийн хувьцааны тоог  тус компанид нэгдэж буй Бинсэ ХХК-н 1 052 614 ш -ээр нэмэгдүүлэн, хувьцааны тоог 1 268 320 ш болгов. Түүнчлэн компанийн нэрийг "Бинсэ" ХК болгосон.
Мөн 2015 оны 05 сарын 04-ний өдрийн ГЗ-ын 128 дугаар тушаал, СЗХ-ны 2015 оны 01 сарын 28-ны өдрийн 70 тоот тогтоолоор 1,000,000 ширхэг хувьцааг нэмж бүртгэсэн.</t>
        </r>
      </text>
    </comment>
    <comment ref="C60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J60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AHR-ийг BSKY болгож өөрчлөв</t>
        </r>
      </text>
    </comment>
    <comment ref="O60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Manaljav:
CЗХ-ны 2015.05.20-ны өдрийн 243 тоот тогтоол, МХБ-ийн ГЗ-ын 2015.09.17-ны өдрийн 270 дугаар тушаалаар 100 төг-н нэрлэсэн үнэтэй 1805054 ширхэг хувьцааг нэмж бүртгэсэн.
</t>
        </r>
      </text>
    </comment>
    <comment ref="O62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СЗХ-ны 2014.03.12-ны өдрийн 89 тоот тогтоол, МХБ-ийн ГЗ-ын 2014.12.18-ны өдрийн 217 тоот тушаалаар 363,965 ширхэг хувьцааг хасч 197,969 болгосон.</t>
        </r>
      </text>
    </comment>
    <comment ref="C71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O72" authorId="8">
      <text>
        <r>
          <rPr>
            <b/>
            <sz val="9"/>
            <color indexed="81"/>
            <rFont val="Tahoma"/>
            <family val="2"/>
            <charset val="204"/>
          </rPr>
          <t>Ганзул Лувсандорж:</t>
        </r>
        <r>
          <rPr>
            <sz val="9"/>
            <color indexed="81"/>
            <rFont val="Tahoma"/>
            <family val="2"/>
            <charset val="204"/>
          </rPr>
          <t xml:space="preserve">
МХБ-ийн 2018.10.17ны А/177 тоот тогтоол, СЗХ-ны 2018.11.30-ны 366 тоот тогтоолоор 100 төгрөгийн нэрлэсэн үнэтэй 7801125ш энгийн хувьцааг нэг бүр нь 1 төгрөгийн нэрлэсэн үнэтэй 780112500 ширхэг энгийн хувьцаа болгон хуваасан. </t>
        </r>
      </text>
    </comment>
    <comment ref="C74" authorId="4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J74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ГЗ-ийн 2010.12.07-ны 168 тушаалаар MSI-ийг GFG болгов
</t>
        </r>
      </text>
    </comment>
    <comment ref="O79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273 тоот тогтоол, МХБ-ийн ГЗ-ын 2014.8.19-ны 126 дугаар тушаалаар 103703ш-ээс 69066ш-ийг хасч, 34637ш болгов. МХБ-ийн ГЗ-ын 2016.07.25-ны өдрийн 265 дугаар тушаалаар 1788500 ширхэг хувьцааг нэмж бүртгэсэн.</t>
        </r>
      </text>
    </comment>
    <comment ref="O80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СЗХ-ны 2011.4.21-ний 119 тоотоор 582 812 ш-ийг хасав.</t>
        </r>
      </text>
    </comment>
    <comment ref="O81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2013.11.6-ний 414 тоот тогтоолын дагуу өрийг хувьцаагаар солих замаар 239,943 ш хувьцааг нэмж бүртгүүлэн. ГЗ-ын 2014.2.7-ны  30 дугаар тушаалаад бүртгэлд өөрчлөлт оруулан хувьцааны тоог 617,718 ш болгов.
</t>
        </r>
      </text>
    </comment>
    <comment ref="O82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 МХБ-ийн ГЗ-ын 2016 оны 11 сарын 09-ний өдрийн 405 дугаар тушаалаар 1:100 болгон хувьцааг хуваасан. </t>
        </r>
      </text>
    </comment>
    <comment ref="C92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I92" authorId="7">
      <text>
        <r>
          <rPr>
            <b/>
            <sz val="9"/>
            <color indexed="81"/>
            <rFont val="Tahoma"/>
            <family val="2"/>
          </rPr>
          <t xml:space="preserve">Enkhtuya mse:
</t>
        </r>
        <r>
          <rPr>
            <sz val="9"/>
            <color indexed="81"/>
            <rFont val="Tahoma"/>
            <family val="2"/>
          </rPr>
          <t>2013.11.22-нд TE байсныг UB болгов.</t>
        </r>
      </text>
    </comment>
    <comment ref="K92" authorId="7">
      <text>
        <r>
          <rPr>
            <b/>
            <sz val="9"/>
            <color indexed="81"/>
            <rFont val="Tahoma"/>
            <family val="2"/>
          </rPr>
          <t xml:space="preserve">Enkhtuya mse:
</t>
        </r>
        <r>
          <rPr>
            <sz val="9"/>
            <color indexed="81"/>
            <rFont val="Tahoma"/>
            <family val="2"/>
          </rPr>
          <t>2013.11.22-нд TE байсныг UB болгов.</t>
        </r>
      </text>
    </comment>
    <comment ref="O92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2013.4.10-ны 156 тоот, МХБ-ийн ГЗ-ын 2013.9.16-ны 129 дугаар тушаалаар 75 874 ш хувьцаан дээр 2 195 018 ш-ийг нэмж 2 270 892 ш болгов. Евроазиа капитал монголиа ХХК-ийг нэгтгэж авсан.
2016.05.19-ний өдрийн МХБ-ийн ГЗ-ын 197 дугаар тушаалаар 50000000 ширхэг энгийн хувьцааг нэмж бүртгэсэн.</t>
        </r>
      </text>
    </comment>
    <comment ref="C93" authorId="2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N94" authorId="1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2017.08.15-ны А/144, СЗХ-ны 2017.11.24-ний 225 тоот тогтоолын дагуу нэрлэсэн үнэд өөрчлөлт орсон. </t>
        </r>
      </text>
    </comment>
    <comment ref="O94" authorId="1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2017.08.15-ны А/144, СЗХ-ны 2017.11.24-ний 225 тоот тогтоолын дагуу "Жинст-Увс" ХК-д  "Хөрөнгө оруулагч үндэстэн" хаалттай ХК-ийг нэгтгэсэн. 
МХБ-ийн ГЗ-ын 2018.12.27-ны А/144, СЗХ-ны 2019.05.08-ний 102 тоот тогтоолын дагуу "Жинст-Увс" ХК-д  "Ард санхүүгийн нэгдэл" хаалттай ХК-ийг нэгтгэсэн</t>
        </r>
      </text>
    </comment>
    <comment ref="C96" authorId="2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C104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J104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TRN-ийг BAZ болгов.</t>
        </r>
      </text>
    </comment>
    <comment ref="C122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J124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MSH-ийг MSC болгов.</t>
        </r>
      </text>
    </comment>
    <comment ref="C128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J128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2011.12.16-нд USB-ийг MUDX болгов.</t>
        </r>
      </text>
    </comment>
    <comment ref="C131" authorId="2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O131" authorId="11">
      <text>
        <r>
          <rPr>
            <b/>
            <sz val="9"/>
            <color indexed="81"/>
            <rFont val="Tahoma"/>
            <family val="2"/>
          </rPr>
          <t>USR0601:</t>
        </r>
        <r>
          <rPr>
            <sz val="9"/>
            <color indexed="81"/>
            <rFont val="Tahoma"/>
            <family val="2"/>
          </rPr>
          <t xml:space="preserve">
Нийтэд санал болгон гаргасан нэг бүр нь 100 төгрөгийн нэрлэсэн үнэ бүхий 52,056 ширхэг хувьцааг 100 хуваажь нэг бүр нь 1 төгрөгийн нэрлэсэн үнэ бүхий  5,205,600 ширхэг энгийн хувьцаа болгон бүртгэлд өөрчлөлт оруулав.
</t>
        </r>
      </text>
    </comment>
    <comment ref="C133" authorId="6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O141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СЗХ-ны 2010.09.23-ний 23 тоотоор 48963159ш-ийг хасав</t>
        </r>
      </text>
    </comment>
    <comment ref="O142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2011.7.06-ны ГЗ-ийн 146 тушаалаар 1:177 ш болгон хувааж, 16222300 ш-ийн нэмж гаргасан</t>
        </r>
      </text>
    </comment>
    <comment ref="O144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Шүүхийн шийдвэрийн дагуу МХБ-ийн 2000.08.17-ны өдрийн тушаалаар 521271 ш-г хасч 1929073 болгосон.
 </t>
        </r>
      </text>
    </comment>
    <comment ref="C145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C146" author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O146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2015 оны 162 тоот тогтоол, МХБ-ийн ГЗ-ын 2015 оны 6 сарын 22-ны 189 тоот тушаалаар Баянбогд ХК-д "Стандарт проперти групп" ХХК-ийг нэгтгэж нэг бүр нь 100 төгрөгийн нэрлэсэн үнэтэй 1 530 200 ширхэг хувьцаагаар нэмэгдүүлж, оноосон нэрийг "Стандарт проперти групп" ХК болгож өөрчлөв.</t>
        </r>
      </text>
    </comment>
    <comment ref="C147" authorId="2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O147" authorId="12">
      <text>
        <r>
          <rPr>
            <b/>
            <sz val="9"/>
            <color indexed="81"/>
            <rFont val="Tahoma"/>
            <family val="2"/>
            <charset val="204"/>
          </rPr>
          <t>Ариунтуяа: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13 599 265 ширхэг хувьцаагаар нэмэгдүүлж 13 735 752 болгон өөрчилсөн.</t>
        </r>
      </text>
    </comment>
    <comment ref="O148" authorId="0">
      <text>
        <r>
          <rPr>
            <sz val="9"/>
            <color indexed="81"/>
            <rFont val="Tahoma"/>
            <family val="2"/>
          </rPr>
          <t xml:space="preserve">
Enkhtuya mse:
НӨХК-ийн 2007.12.04-ний 55 тоот, МХБ-ийн ГЗ-ын 2014.6.24-ний 94 тоотоор төрийн мэдлийн 51% буюу 175440 ш хувьцааг хувийн өмчид шилжүүлэв.
МХБ-ийн ГЗ-ийн 2016.05.05-ны өдрийн 176 дугаар тушаалаар нэгж хувьцааг 1:1000 хувааж бүртгэлд өөрчлөлт оруулсан.</t>
        </r>
      </text>
    </comment>
    <comment ref="C150" authorId="1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J151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SHO-ийг SES болгов.
</t>
        </r>
      </text>
    </comment>
    <comment ref="O151" authorId="13">
      <text>
        <r>
          <rPr>
            <b/>
            <sz val="8"/>
            <color indexed="81"/>
            <rFont val="Tahoma"/>
            <family val="2"/>
          </rPr>
          <t>enkhtuya:</t>
        </r>
        <r>
          <rPr>
            <sz val="8"/>
            <color indexed="81"/>
            <rFont val="Tahoma"/>
            <family val="2"/>
          </rPr>
          <t xml:space="preserve">
2009.09.25-нд ТӨ 40% буюу 46108 ш-г хувьчилж бүртгэв. /Сэ аймгийн ИТХТ-чдийн 2006 оны 132 тоотыг үндэслэн
</t>
        </r>
      </text>
    </comment>
    <comment ref="O156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СЗХ-ны 2012.6.20-ны 207 тоотыг үндэслэн МХБ-ийн ГЗ-ийн 2012.8.6-ны 92 дугаар тушаалаар нэрлэсэн үнэ 808842ш нь 100 төг, 381141 ш нь 236 төг байсныг өөрчилж ижилхэн 168 төг болгов</t>
        </r>
      </text>
    </comment>
    <comment ref="O161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2014.6.25-ны 248 тоот, МХБ-ийн ГЗ-ын 2014.7.21-ний 106 дугаар тушаалаар хувьцааг 1:10 хувааж, 100 төгрөгийн 434,577 ш-ийг 10 төгрөгийн 4,345,770 ш болгов.
</t>
        </r>
      </text>
    </comment>
    <comment ref="O165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CЗХ-ны 2015.06.24 288 тоот тушаал, МХБ-ийн 2015.08.21 243 тоот тушаалаар 187 200 ш хувьцаагаар нэмэгдүүлсэн. 2016.05.24-ний өдрийн ГЗ-ын 204 дугаартай тушаалаар нэгж хувьцааг 1:100 хуваасан.</t>
        </r>
      </text>
    </comment>
    <comment ref="O169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2013.01.23 37 тоот МХБ-ийн ГЗ-ын 2016.01.20-ны өдрийн 27 дугаар тушаалаар 24871 ширхэг хувьцааг хэсэгчлэн хассан.</t>
        </r>
      </text>
    </comment>
    <comment ref="C170" authorId="1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J170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ГЗ-ийн 2010.10.07-ний 144 тоотоор TSU-г MDR болгов.
</t>
        </r>
      </text>
    </comment>
    <comment ref="O170" authorId="5">
      <text>
        <r>
          <rPr>
            <b/>
            <sz val="8"/>
            <color indexed="81"/>
            <rFont val="Tahoma"/>
            <family val="2"/>
          </rPr>
          <t>Enkhtuya:</t>
        </r>
        <r>
          <rPr>
            <sz val="8"/>
            <color indexed="81"/>
            <rFont val="Tahoma"/>
            <family val="2"/>
          </rPr>
          <t xml:space="preserve">
ÑÇÕ-íû 2009 îíû 156, 252 òîîòîîð 2010.02.19-íä 104 858 044 øèðõýãèéã õàñ÷ 15 141 956 øèðõýã áîëãîâ.
СЗХ-ны 2010.03.24-ны 93 тоотоор 201.04.07-нд Г.Ганбат, Г.Ганцэцэг нарын хувьцааг бүртгэлээс хасав.
</t>
        </r>
      </text>
    </comment>
    <comment ref="O171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СЗХ-ны 2015 оны 07 сарын 02-ны өдрийн 302 тоот тогтоол, МХБ-ийн ГЗ-ын 2015 оны 07 сарын 24-ний өдрийн 219 тоот тушаалаар 42884686 ширхэг хувьцааг нэмж бүртгэв.</t>
        </r>
      </text>
    </comment>
    <comment ref="O173" authorId="14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70% буюу 377660 ширхэгийн төрийг хувьчлав. МХБ-ийн ГЗ-ийн 2008-12-12-ны 180 тоот тушаалаар
</t>
        </r>
      </text>
    </comment>
    <comment ref="C174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C176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O177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2001.08.06-нд 224 517 ш хувьцааг 1:10 болгон хувааж нэрлэсэн 10₮ болсон. 2002.07.22 нд нэг бүр нь 10₮ нэрлэсэн үнэтэй 406 000ш хувьцаа нэмж бүртгүүлсэн. </t>
        </r>
      </text>
    </comment>
    <comment ref="O179" authorId="3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 ТӨХК-ийн ГЗ-ын 2018-04-06-ны өдрийн А/51 тоот тушаал, СЗХ-ны 2018-05-04-ны 170 тоот тогтоолоор 1:100 хуваасан
МХБ ТӨХК-ийн ГЗ-ын 2018-06-18-ны өдрийн А/76 тоот тушаал, СЗХ-ны 2018.06.29.-ны 262 тоот тогтоолоор 4,405,600 ширхэг хувьцааг нэмж бүртгэв.
</t>
        </r>
      </text>
    </comment>
    <comment ref="C187" authorId="1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O187" authorId="11">
      <text>
        <r>
          <rPr>
            <b/>
            <sz val="9"/>
            <color indexed="81"/>
            <rFont val="Tahoma"/>
            <family val="2"/>
          </rPr>
          <t>USR0601:</t>
        </r>
        <r>
          <rPr>
            <sz val="9"/>
            <color indexed="81"/>
            <rFont val="Tahoma"/>
            <family val="2"/>
          </rPr>
          <t xml:space="preserve">
МХБ ТӨХК-ийн ГЗ-ын 2017.10.19-ны өдрийн А/195 тоот тушаалаар нийт гаргасан 119.452.690 ш энгийн хувьцааг 2.751.388.203 ш хувьцаагаар нэмэгдүүлэн нэг бүр нь 100 төгрөгийн үнэтэй 2.870.840.893 ширхэг хувьцаатай байхаар үнэт цаасны бүртгэлд өөрчлөлт оруулав. СЗХ-ны 2017.12.15-ны өдрийн 240 тоот тогтоолоор 2.751.388.203 ш энгийн хувьцааг нийтэд санал болгохыг зөвшөөрсөн байна. 
МХБ ГЗ-ын 2018.07.20-ны өдрийн А/89 тоот тушаал, СЗХ-ны 2018.09.26-ны өдрийн 316 тоот тогтоолоор нэг бүр нь 100 төгрөгийн нэрлэсэн үнэтэй 6,000,000 ширхэг хувьцааг хаалттай хүрээнд нэмж гаргасан.</t>
        </r>
      </text>
    </comment>
    <comment ref="C191" authorId="2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O195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2011.03.02-нд 1292596 ш-ийг өрийг хувьцаагаар солих замаар нэмж гаргасан.
СЗХ-ны 2011.8.24-ний 250 тоотоот 1707404ш-ийг нэмж 2011.10.13-д бүртгэж, хувьцааны тоо 10 231 389 ш болсон
СЗХ-ны 2015.07.03-ны 308 тоот 2015.08.12-ны өдрийн МХБ ГЗ-ын 234 тоот тушаалаар арилжигдаагүй үлдсэн 61 147 ширхэг хувьцааг хассан.</t>
        </r>
      </text>
    </comment>
    <comment ref="L203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Компанийн 2013.6.10-ны 100 тоот а.бичиг болон Улсын бүртгэлийн 0210001004 дугаартай гэрчилгээг үндэслэн А салбараас D салбарт шилжүүлэн бүртгэлээ. /Уур үйлдвэрлэл, халуун ус хангамж/
</t>
        </r>
      </text>
    </comment>
    <comment ref="O205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СЗХ-ны 2012 оны 53, 119 тоот ба МХБ-ийн ГЗ-ын 2012.9.28-ны 124 тоот тушаалаар 120463 ш хувьцааг, өрийг хувьцаагаар солих замаар нэмж бүртгэв.</t>
        </r>
      </text>
    </comment>
    <comment ref="O639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63954
 /=181201-1111 /
</t>
        </r>
      </text>
    </comment>
    <comment ref="J723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MZR-ийг UDV болгов.</t>
        </r>
      </text>
    </comment>
    <comment ref="O762" authorId="5">
      <text>
        <r>
          <rPr>
            <b/>
            <sz val="8"/>
            <color indexed="81"/>
            <rFont val="Tahoma"/>
            <family val="2"/>
          </rPr>
          <t>Enkhtuya:</t>
        </r>
        <r>
          <rPr>
            <sz val="8"/>
            <color indexed="81"/>
            <rFont val="Tahoma"/>
            <family val="2"/>
          </rPr>
          <t xml:space="preserve">
АХ аймаг ИТХ-2008.03.05-ны 16 тоотоор төрийг хувьчлав
</t>
        </r>
      </text>
    </comment>
    <comment ref="J853" authorId="9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BNH-ийг BNR болгов.</t>
        </r>
      </text>
    </comment>
    <comment ref="C885" authorId="5">
      <text>
        <r>
          <rPr>
            <b/>
            <sz val="8"/>
            <color indexed="81"/>
            <rFont val="Tahoma"/>
            <family val="2"/>
          </rPr>
          <t>Enkhtuya:</t>
        </r>
        <r>
          <rPr>
            <sz val="8"/>
            <color indexed="81"/>
            <rFont val="Tahoma"/>
            <family val="2"/>
          </rPr>
          <t xml:space="preserve">
2010.04.16-нд "Хархираа"-г "Алтандуулга" болгов.
</t>
        </r>
      </text>
    </comment>
    <comment ref="O885" authorId="5">
      <text>
        <r>
          <rPr>
            <b/>
            <sz val="8"/>
            <color indexed="81"/>
            <rFont val="Tahoma"/>
            <family val="2"/>
          </rPr>
          <t>Enkhtuya:</t>
        </r>
        <r>
          <rPr>
            <sz val="8"/>
            <color indexed="81"/>
            <rFont val="Tahoma"/>
            <family val="2"/>
          </rPr>
          <t xml:space="preserve">
2010.04.16-нд орон нутгийн 31195ш-г хасч, 433696ш болгов.Мөн төрийн 137618 ш буюу 31.7%-г хувьд шилжүүлсэн.</t>
        </r>
      </text>
    </comment>
    <comment ref="C945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2011.11.15-нд Сөдөт гэх нэрийг өөрчилж Азиапасифик пропертис болгов</t>
        </r>
      </text>
    </comment>
    <comment ref="J945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2011.11.15-нд UNH гэх симболыг APP болгов
</t>
        </r>
      </text>
    </comment>
    <comment ref="O945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2012.8.8-ны 238 тоот тогтоол, МХБ-ийн ГЗ-ын 2012.10.02-ны 125 тоот тушаалаар тус компанид охин компани Руал Девелопмент ХХК-ийг нэгтгэж хувьцааны тоо 352770 ш болж өөрчлөгдсөн.
СЗХ-ны 2014.1.15-ны 03 тоот, ГЗ-ын 2014.2.13-ны 33 дугаар тушаалаар 100 төгрөгийн нэрлэсэн үнэ бүхий 352,770 ширхэг хувьцааг нэг бүр нь 10 төгрөгийн нэрлэсэн үнэ бүхий 3,527,700 ширхэг энгийн хувьцаа болгож хувааж үнэт цаасны бүртгэлд өөрчлөлт оруулсан.
</t>
        </r>
      </text>
    </comment>
    <comment ref="O984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2015.09.25 366тоот МХБ-ийн ГЗ-ын 2016.01.22-ны 31 тоот тушаалаар 288 ширхэг хувьцааг 1 ширхэг болгон нэг бүр 28800 нэрлэсэн үнэтэй 13038 ширхэг хувьцаатай болгов.</t>
        </r>
      </text>
    </comment>
    <comment ref="O990" author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ҮЦХ-ны 2000.01.20-ны 03 тоот МХБ-ийн 2000.02.17-ны өдрийн тушаалаар нийт 104708 ширхэг хувьцаанаас 46700 ш-ийг тусгаарлан ХХК байгуулсан тул бүртгэлээс хасч нийт 58008 ш хувьцаатай болсон байна.</t>
        </r>
      </text>
    </comment>
    <comment ref="O1003" authorId="13">
      <text>
        <r>
          <rPr>
            <b/>
            <sz val="8"/>
            <color indexed="81"/>
            <rFont val="Tahoma"/>
            <family val="2"/>
          </rPr>
          <t>enkhtuya:</t>
        </r>
        <r>
          <rPr>
            <sz val="8"/>
            <color indexed="81"/>
            <rFont val="Tahoma"/>
            <family val="2"/>
          </rPr>
          <t xml:space="preserve">
СЗХ-ны 2004.02.06-ны 06 тоот, МХБ-ийн ГЗ-ын 2009.08.31-ний 125 тоотоор 91801 ши-ийг 43798 ш болгов. /6 иргэн, 1 БДК-д 48003 ш-ийг өгөв/
</t>
        </r>
      </text>
    </comment>
    <comment ref="C1013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2012.9.12-ны 284 тоот тогтоол, МХБ-ийн ГЗ-ын 2013.1.31-ний 1/13 тоот тушаалаар </t>
        </r>
        <r>
          <rPr>
            <sz val="9"/>
            <color indexed="81"/>
            <rFont val="Times New Roman Mon"/>
            <family val="1"/>
          </rPr>
          <t xml:space="preserve">"Ñîëîíãî ýêñïðåññ" нэрийг "Еврофё Азиа" болгов. </t>
        </r>
      </text>
    </comment>
    <comment ref="J1013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Enkhtuya mse:
МХБ-ийн ГЗ-ын 2013.1.31-ний 1/13 тоот тушаалаар симбол SOI-ийг FEU болгохоор тушаал гарсан хэдий ч МТА, ҮЦТТТХТ-ийн зүгээс программд өөрчлөх боломжгүй гэсэн тул хуучин симболыг ашиглахаар боллоо.</t>
        </r>
      </text>
    </comment>
    <comment ref="O1013" authorId="7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Enkhtuya mse:
СЗХ-ны 2012.9.12-ны 284 тоот тогтоол, МХБ-ийн ГЗ-ын 2013.1.31-ний 1/13 тоот тушаалаар "Солонго экспресс" ХК-д "Еврофё Азиа" ХХК-г нэгтгэн 100 төгрөгийн нэрлэсэн үнэтэй 451286ш хувьцааг нэмж бүртгэв.</t>
        </r>
      </text>
    </comment>
  </commentList>
</comments>
</file>

<file path=xl/sharedStrings.xml><?xml version="1.0" encoding="utf-8"?>
<sst xmlns="http://schemas.openxmlformats.org/spreadsheetml/2006/main" count="5571" uniqueCount="2633">
  <si>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</si>
  <si>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</si>
  <si>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</si>
  <si>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</si>
  <si>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</si>
  <si>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</si>
  <si>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</si>
  <si>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</si>
  <si>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</si>
  <si>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</si>
  <si>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</si>
  <si>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</si>
  <si>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</si>
  <si>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</si>
  <si>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</si>
  <si>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</si>
  <si>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</si>
  <si>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</si>
  <si>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</si>
  <si>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</si>
  <si>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</si>
  <si>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</si>
  <si>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</si>
  <si>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</si>
  <si>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</si>
  <si>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ARH</t>
  </si>
  <si>
    <t>DLH</t>
  </si>
  <si>
    <t>HAM</t>
  </si>
  <si>
    <t>BNG</t>
  </si>
  <si>
    <t>SUU</t>
  </si>
  <si>
    <t>AHH</t>
  </si>
  <si>
    <t>GFG</t>
  </si>
  <si>
    <t>DBL</t>
  </si>
  <si>
    <t>BAJ</t>
  </si>
  <si>
    <t>CHE</t>
  </si>
  <si>
    <t>ATR</t>
  </si>
  <si>
    <t>AMT</t>
  </si>
  <si>
    <t>HHN</t>
  </si>
  <si>
    <t>BUK</t>
  </si>
  <si>
    <t>NOG</t>
  </si>
  <si>
    <t>BLG</t>
  </si>
  <si>
    <t>MMX</t>
  </si>
  <si>
    <t>TCK</t>
  </si>
  <si>
    <t>AZH</t>
  </si>
  <si>
    <t>GHC</t>
  </si>
  <si>
    <t>BLC</t>
  </si>
  <si>
    <t>SUN</t>
  </si>
  <si>
    <t>MIB</t>
  </si>
  <si>
    <t>DAR</t>
  </si>
  <si>
    <t>MDZ</t>
  </si>
  <si>
    <t>BUN</t>
  </si>
  <si>
    <t>SHG</t>
  </si>
  <si>
    <t>SUL</t>
  </si>
  <si>
    <t>HZB</t>
  </si>
  <si>
    <t>NRS</t>
  </si>
  <si>
    <t>DZG</t>
  </si>
  <si>
    <t>HUZ</t>
  </si>
  <si>
    <t>HSR</t>
  </si>
  <si>
    <t>MIE</t>
  </si>
  <si>
    <t>MBG</t>
  </si>
  <si>
    <t>TUS</t>
  </si>
  <si>
    <t>BAN</t>
  </si>
  <si>
    <t>ADU</t>
  </si>
  <si>
    <t>VIK</t>
  </si>
  <si>
    <t>TEX</t>
  </si>
  <si>
    <t>TAH</t>
  </si>
  <si>
    <t>BDL</t>
  </si>
  <si>
    <t>BTG</t>
  </si>
  <si>
    <t>HBT</t>
  </si>
  <si>
    <t>TTL</t>
  </si>
  <si>
    <t>SHV</t>
  </si>
  <si>
    <t>ADL</t>
  </si>
  <si>
    <t>TAL</t>
  </si>
  <si>
    <t>BOE</t>
  </si>
  <si>
    <t>MNB</t>
  </si>
  <si>
    <t>UID</t>
  </si>
  <si>
    <t>SDT</t>
  </si>
  <si>
    <t>DAS</t>
  </si>
  <si>
    <t>EDS</t>
  </si>
  <si>
    <t>MSC</t>
  </si>
  <si>
    <t>DGS</t>
  </si>
  <si>
    <t>DSD</t>
  </si>
  <si>
    <t>UTS</t>
  </si>
  <si>
    <t>HTS</t>
  </si>
  <si>
    <t>DSH</t>
  </si>
  <si>
    <t>JTB</t>
  </si>
  <si>
    <t>DAZ</t>
  </si>
  <si>
    <t>MDR</t>
  </si>
  <si>
    <t>OLL</t>
  </si>
  <si>
    <t>HRM</t>
  </si>
  <si>
    <t>RMC</t>
  </si>
  <si>
    <t>NKT</t>
  </si>
  <si>
    <t>HGN</t>
  </si>
  <si>
    <t>ETR</t>
  </si>
  <si>
    <t>MNP</t>
  </si>
  <si>
    <t>MIK</t>
  </si>
  <si>
    <t>ITLS</t>
  </si>
  <si>
    <t>MBW</t>
  </si>
  <si>
    <t>LEND</t>
  </si>
  <si>
    <t>MNDL</t>
  </si>
  <si>
    <t>AIC</t>
  </si>
  <si>
    <t>TUM</t>
  </si>
  <si>
    <t>MFC</t>
  </si>
  <si>
    <t>INV</t>
  </si>
  <si>
    <t>HSG</t>
  </si>
  <si>
    <t>HBZ</t>
  </si>
  <si>
    <t>NXE</t>
  </si>
  <si>
    <t>NEH</t>
  </si>
  <si>
    <t>HRD</t>
  </si>
  <si>
    <t>APU</t>
  </si>
  <si>
    <t>SOR</t>
  </si>
  <si>
    <t>ATI</t>
  </si>
  <si>
    <t>ALA</t>
  </si>
  <si>
    <t>ABH</t>
  </si>
  <si>
    <t>ADB</t>
  </si>
  <si>
    <t>EER</t>
  </si>
  <si>
    <t>ALI</t>
  </si>
  <si>
    <t>AOI</t>
  </si>
  <si>
    <t>AAR</t>
  </si>
  <si>
    <t>ALD</t>
  </si>
  <si>
    <t>BRC</t>
  </si>
  <si>
    <t>BEU</t>
  </si>
  <si>
    <t>BDS</t>
  </si>
  <si>
    <t>BSKY</t>
  </si>
  <si>
    <t>BHG</t>
  </si>
  <si>
    <t>BZO</t>
  </si>
  <si>
    <t>DZS</t>
  </si>
  <si>
    <t>DAH</t>
  </si>
  <si>
    <t>DHU</t>
  </si>
  <si>
    <t>DDS</t>
  </si>
  <si>
    <t>DTU</t>
  </si>
  <si>
    <t>DSS</t>
  </si>
  <si>
    <t>DUS</t>
  </si>
  <si>
    <t>DMA</t>
  </si>
  <si>
    <t>BAZ</t>
  </si>
  <si>
    <t>DES</t>
  </si>
  <si>
    <t>DIM</t>
  </si>
  <si>
    <t>DKS</t>
  </si>
  <si>
    <t>DRU</t>
  </si>
  <si>
    <t>EAZ</t>
  </si>
  <si>
    <t>TAS</t>
  </si>
  <si>
    <t>SVR</t>
  </si>
  <si>
    <t>EUD</t>
  </si>
  <si>
    <t>IND</t>
  </si>
  <si>
    <t>ECV</t>
  </si>
  <si>
    <t>JGL</t>
  </si>
  <si>
    <t>GTJ</t>
  </si>
  <si>
    <t>GUR</t>
  </si>
  <si>
    <t>GTL</t>
  </si>
  <si>
    <t>HBO</t>
  </si>
  <si>
    <t>HMK</t>
  </si>
  <si>
    <t>TVT</t>
  </si>
  <si>
    <t>DAO</t>
  </si>
  <si>
    <t>HVL</t>
  </si>
  <si>
    <t>HUV</t>
  </si>
  <si>
    <t>HHS</t>
  </si>
  <si>
    <t>HAH</t>
  </si>
  <si>
    <t>IBA</t>
  </si>
  <si>
    <t>INT</t>
  </si>
  <si>
    <t>HCH</t>
  </si>
  <si>
    <t>JIV</t>
  </si>
  <si>
    <t>JGV</t>
  </si>
  <si>
    <t>MRX</t>
  </si>
  <si>
    <t>MNG</t>
  </si>
  <si>
    <t>MOG</t>
  </si>
  <si>
    <t>ERS</t>
  </si>
  <si>
    <t>HBJ</t>
  </si>
  <si>
    <t>MTZ</t>
  </si>
  <si>
    <t>MCH</t>
  </si>
  <si>
    <t>KEK</t>
  </si>
  <si>
    <t>MNH</t>
  </si>
  <si>
    <t>UYN</t>
  </si>
  <si>
    <t>MVO</t>
  </si>
  <si>
    <t>MSH</t>
  </si>
  <si>
    <t>MUDX</t>
  </si>
  <si>
    <t>NDS</t>
  </si>
  <si>
    <t>NUR</t>
  </si>
  <si>
    <t>JLT</t>
  </si>
  <si>
    <t>TGS</t>
  </si>
  <si>
    <t>NIE</t>
  </si>
  <si>
    <t>ORD</t>
  </si>
  <si>
    <t>HJL</t>
  </si>
  <si>
    <t>SES</t>
  </si>
  <si>
    <t>SIL</t>
  </si>
  <si>
    <t>SSG</t>
  </si>
  <si>
    <t>SOH</t>
  </si>
  <si>
    <t>TAV</t>
  </si>
  <si>
    <t>TVL</t>
  </si>
  <si>
    <t>ACL</t>
  </si>
  <si>
    <t>TEE</t>
  </si>
  <si>
    <t>TSA</t>
  </si>
  <si>
    <t>TLP</t>
  </si>
  <si>
    <t>TMZ</t>
  </si>
  <si>
    <t>UDS</t>
  </si>
  <si>
    <t>UBH</t>
  </si>
  <si>
    <t>ULZ</t>
  </si>
  <si>
    <t>ONH</t>
  </si>
  <si>
    <t>CHR</t>
  </si>
  <si>
    <t>HUN</t>
  </si>
  <si>
    <t>МХБ-д бүртгэлтэй хувьцаат компаниудын 2019 оны хагас жилийн санхүүгийн тайлангийн хураангуй үзүүлэлт.</t>
  </si>
  <si>
    <t>ÌÕÁ-Ä Á¯ÐÒÃÝËÒÝÉ ÕÓÂÜÖÀÀÒ ÊÎÌÏÀÍÈÓÄÛÍ ÆÀÃÑÀÀËÒ</t>
  </si>
  <si>
    <t>No</t>
  </si>
  <si>
    <t>ÊÎÌÏÀÍÈÉÍ ÍÝÐÑ</t>
  </si>
  <si>
    <t>ÕÓÓ×ÈÍ ÀÆ ÀÕÓÉÍ ÍÝÃÆÈÉÍ  ÍÝÐ</t>
  </si>
  <si>
    <t>¯ÉË ÀÆÈËËÀÃÀÀÍÛ ×ÈÃËÝË</t>
  </si>
  <si>
    <t>ҮНЭТ ЦААСНЫ КОД</t>
  </si>
  <si>
    <t>ÁÀÉÐØËÛÍ ÊÎÄ</t>
  </si>
  <si>
    <t>ÍÝÐÈÉÍ ÊÎÄ</t>
  </si>
  <si>
    <t>ÑÀËÁÀÐÛÍ ÊÎÄ</t>
  </si>
  <si>
    <t>ÕÎÝÁ-ð õóâü÷èë-ñàí áîëîí àíõíû Ä¯ÐÌÈÉÍ ÑÀÍ   (ìÿíãàí òºãðºã)</t>
  </si>
  <si>
    <t>Нэрлэсэн үнэ /төгрөгөөр/</t>
  </si>
  <si>
    <t>ÕÓÂÜÖÀÀÍÛ            ÒÎÎ          (øèðõýã)</t>
  </si>
  <si>
    <t xml:space="preserve">      ÒªÐ.ÌÝÄÝËÄ</t>
  </si>
  <si>
    <t>ÒªÕ-íû  2000 îíû 4-ð ñàðûí 5-íû 29 Òîîò òîãòîîëûí äàãóó ºì÷ëºëèéí õàðüÿàëàë</t>
  </si>
  <si>
    <t xml:space="preserve"> ÕÓÂÜ×ËÀÃÄÑÀÍ </t>
  </si>
  <si>
    <t>Á¯ÐÒÃÝÃÄÑÝÍ ÎÍ ÑÀÐ ªÄªÐ</t>
  </si>
  <si>
    <t>ØÈÍÝ    Ä/ÑÀÍ</t>
  </si>
  <si>
    <t>ÄÑ øèíý÷èëñýí  îãíîî</t>
  </si>
  <si>
    <t>Òýì äýãëýë</t>
  </si>
  <si>
    <t>¯ÖÕ-íû òîãòîîë îãíîî</t>
  </si>
  <si>
    <t>Ä¿ðìèéí ñàíãèéí ººð÷ëºëò</t>
  </si>
  <si>
    <t>Íèéò õóâüöààíû ººð÷ëºëò</t>
  </si>
  <si>
    <t>ÄÕ-ààð çàðàãäñàí òºðèéí ìýäëèéí õóâüöàà</t>
  </si>
  <si>
    <t>ÒªÕ-íû òîãòîîëûí îãíîî</t>
  </si>
  <si>
    <t>¹</t>
  </si>
  <si>
    <t>ÌÕÁ-ä á¿ðò-ñýí</t>
  </si>
  <si>
    <t>ХУУЧИН</t>
  </si>
  <si>
    <t>ШИНЭ</t>
  </si>
  <si>
    <t>ÇÃ;ÓÁ</t>
  </si>
  <si>
    <t>100%ÒªÐÈÉÍ ªÌ×ÒÝÉ</t>
  </si>
  <si>
    <t>"Багануур, зүүн өмнөт бүсийн цахилгаан түгээх сүлжээ" ХК</t>
  </si>
  <si>
    <t>Öàõèëãààí ýð÷èì õ¿÷ ò¿ãýýõ</t>
  </si>
  <si>
    <t>UB</t>
  </si>
  <si>
    <t>D</t>
  </si>
  <si>
    <t>ÒªÕ</t>
  </si>
  <si>
    <t>2003,08,20-íä á¿ðòãýâ</t>
  </si>
  <si>
    <t>"Дизель зуухны угсралт, засварын газар" ХК/ДЗУЗГ</t>
  </si>
  <si>
    <t>Äèçåëü çóóõíû óãñðàëò</t>
  </si>
  <si>
    <t>DZU</t>
  </si>
  <si>
    <t>À</t>
  </si>
  <si>
    <t>¯ÖÕ</t>
  </si>
  <si>
    <t>1998.07.20-ýä á¿ðòãýâ</t>
  </si>
  <si>
    <t>"Дархан ус суваг" ХК</t>
  </si>
  <si>
    <t>öýâýð óñ îëçâîðëîëò, áîõèð øèíãýíèéã òàòàí çàéëóóëàõ</t>
  </si>
  <si>
    <t>DA</t>
  </si>
  <si>
    <t>E</t>
  </si>
  <si>
    <t>2003,04,04-íä á¿ðòãýâ</t>
  </si>
  <si>
    <t>"Дарханы дулааны цахилгаан станц" ХК</t>
  </si>
  <si>
    <t>Ýð÷èì õ¿÷ ¿éëäâýðëýë</t>
  </si>
  <si>
    <t>2002,10,08-íä á¿ðòãýâ.</t>
  </si>
  <si>
    <t>"Дулаан шарын гол" ХК</t>
  </si>
  <si>
    <t>Óñ, äóëààíû ¿éë÷èëãýý ¿ç¿¿ëýõ</t>
  </si>
  <si>
    <t>ÈÒÕ</t>
  </si>
  <si>
    <t>2005.11.09-íä á¿ðòãýâ.</t>
  </si>
  <si>
    <t xml:space="preserve">           ¯ÖÕ    2005.10.13-55òîãòîîë</t>
  </si>
  <si>
    <t>"Дарханы дулааны сүлжээ" ХК</t>
  </si>
  <si>
    <t>2002,11,28-íä á¿ðòãýâ.</t>
  </si>
  <si>
    <t>"Дарханы төмөрлөгийн үйлдвэр" ХК</t>
  </si>
  <si>
    <t>Òºìºðëºãèéí ¿éëäâýðëýë</t>
  </si>
  <si>
    <t>A</t>
  </si>
  <si>
    <t>"Даланзадгадын ДЦС" ХК</t>
  </si>
  <si>
    <t>Öàõèëãààí, äóëààíû ýð÷èì õ¿÷ ¿éëäâýðëýõ</t>
  </si>
  <si>
    <t>EM</t>
  </si>
  <si>
    <t>2004,02,13-íä á¿ðòãýâ.</t>
  </si>
  <si>
    <t>"Дулааны цахилгаан станц 4" ХК</t>
  </si>
  <si>
    <t>2004,02,26-íä á¿ðòãýâ.</t>
  </si>
  <si>
    <t>"Дулааны II цахилгаан станц" ХК</t>
  </si>
  <si>
    <t>2003,02,17-íä á¿ðòãýâ.</t>
  </si>
  <si>
    <t>¯ÖÕ-íû 2005.05.27-26 òîîò òîãòîîëîîð õóâüöààíû òîîíä ººð÷ëºëò îðóóëàâ.</t>
  </si>
  <si>
    <t>"Дулааны III цахилгаан станц" ХК</t>
  </si>
  <si>
    <t>2003,03,13-íä á¿ðòãýâ</t>
  </si>
  <si>
    <t>"Монголын хөрөнгийн бирж" ХК</t>
  </si>
  <si>
    <t>¯íýò öààñíû àðèëæàà ýðõëýõ</t>
  </si>
  <si>
    <t>2003,11,06-íä á¿ðòãýâ,</t>
  </si>
  <si>
    <t>"Монголын төмөр зам" ХК</t>
  </si>
  <si>
    <t>Төмөр зам</t>
  </si>
  <si>
    <t>"Налайхын дулааны станц" ХК</t>
  </si>
  <si>
    <t>Äóëààí ¿éëäâýðëýë, ò¿ãýýëò, õàëóóí óñíû õàíãàìæ</t>
  </si>
  <si>
    <t>2003,02,05-íä á¿ðòãýâ.</t>
  </si>
  <si>
    <t>"Улаанбаатар цахилгаан түгээх сүлжээ" ХК</t>
  </si>
  <si>
    <t>öàõèëãààí ýð÷èì õ¿÷ äàìæóóëàí ò¿ãýýõ</t>
  </si>
  <si>
    <t>2004,03,17-íä á¿ðòãýâ.</t>
  </si>
  <si>
    <t>"Улаанбаатар дулааны сүлжээ" ХК</t>
  </si>
  <si>
    <t>2002,10,21-íä á¿ðòãýâ.</t>
  </si>
  <si>
    <t>"Эрдэнэт ус, дулаан түгээх сүлжээ" ХК</t>
  </si>
  <si>
    <t>Óñ õàíãàìæ, àðèóòãàõ òàòóóðãà, äóëààí çîõèöóóëàëòòàé õàíãàõ, ò¿ãýýõ</t>
  </si>
  <si>
    <t>OR</t>
  </si>
  <si>
    <t>2003,07,07-íä á¿ðòãýâ</t>
  </si>
  <si>
    <t>"Эрдэнэтийн дулааны цахилгаан станц" ХК</t>
  </si>
  <si>
    <t>2002,12,23-íä á¿ðòãýâ</t>
  </si>
  <si>
    <t>"Автоимпекс" ХК</t>
  </si>
  <si>
    <t>Àâòîèìï.õàíã/íýãäýë</t>
  </si>
  <si>
    <t>ÇÃ</t>
  </si>
  <si>
    <t>1,6,95</t>
  </si>
  <si>
    <t>"Баянтээг" ХК</t>
  </si>
  <si>
    <t>Áàÿíòýýã.í¿¿ðñ.óóðõàé</t>
  </si>
  <si>
    <t>EV</t>
  </si>
  <si>
    <t>ªÂ</t>
  </si>
  <si>
    <t>11,30,94</t>
  </si>
  <si>
    <t>"Багануур" ХК</t>
  </si>
  <si>
    <t>Áàãàíóóð. í¿¿ðñ.óóðõàé</t>
  </si>
  <si>
    <t>2,7,94</t>
  </si>
  <si>
    <t>"Могойн гол" ХК</t>
  </si>
  <si>
    <t>Ìîãîéí ãîë í/óóðõàé</t>
  </si>
  <si>
    <t>HE</t>
  </si>
  <si>
    <t>VK</t>
  </si>
  <si>
    <t>Õª</t>
  </si>
  <si>
    <t>11,22,94</t>
  </si>
  <si>
    <t>"Монголын цахилгаан холбоо" ХК</t>
  </si>
  <si>
    <t>ÓÁ, Öàõ.õîëáîî.êîìáèíàò</t>
  </si>
  <si>
    <t>40 Êîrean Telecom</t>
  </si>
  <si>
    <t>"Тавантолгой" ХК</t>
  </si>
  <si>
    <t>Òàâàíòîë. í¿¿ðñ.óóðõàé</t>
  </si>
  <si>
    <t>1,19,95</t>
  </si>
  <si>
    <t>20,32 Ý.Ãîëçèî</t>
  </si>
  <si>
    <t>"Ханын материал" ХК</t>
  </si>
  <si>
    <t>ÕÌÊîìáèíàò</t>
  </si>
  <si>
    <t>4,24,92</t>
  </si>
  <si>
    <t>119</t>
  </si>
  <si>
    <t>¯ÖÕ-íû 2003,4,23-íû ºäðèéí àá, ×èí ä¿¿ðãèéí ø¿¿õèéí øèéäâýðèéã ¿íäýñëýí á¿ðòãýëä ººð÷ëºëò îðóóëàâ.</t>
  </si>
  <si>
    <t>"Хишиг уул" ХК</t>
  </si>
  <si>
    <t>Áàãàíóóð ÕÓÃàçàð</t>
  </si>
  <si>
    <t>HSX</t>
  </si>
  <si>
    <t>ÓÁ</t>
  </si>
  <si>
    <t>12,2,93</t>
  </si>
  <si>
    <t>2004.01.22 tur hasav.</t>
  </si>
  <si>
    <t>"Шивээ овоо" ХК</t>
  </si>
  <si>
    <t>Øèâýý îâîîãèéí óóðõàé</t>
  </si>
  <si>
    <t>GS</t>
  </si>
  <si>
    <t>2,13,95</t>
  </si>
  <si>
    <t>"Монгол шуудан" ХК</t>
  </si>
  <si>
    <t>"Автозам" ХК</t>
  </si>
  <si>
    <t>Àðõ/Çàì áàð.àø.êîíòîð</t>
  </si>
  <si>
    <t>AR</t>
  </si>
  <si>
    <t>ÀÐ</t>
  </si>
  <si>
    <t>10,11,93</t>
  </si>
  <si>
    <t>2003,10,09-70 òîîò òîãòîîëîîð ººð÷ëºëò îðóóëàâ.</t>
  </si>
  <si>
    <t>2003,12,10ÒªÕ-ñ Òª-èéã õóäàëäàõ òóõàé àëáàí áè÷èã èð¿¿ëýâ.</t>
  </si>
  <si>
    <t>2004.12.07íýð ººð÷ëºâ.</t>
  </si>
  <si>
    <t>2004.12.23-íû ¯ÖÕ-û òîãòîîëûã ¿íäýñëýí òºðèéí ìýäëèéã õàñàâ.</t>
  </si>
  <si>
    <t>"Агротехимпекс" ХК</t>
  </si>
  <si>
    <t>ÕÀÀÒÈ Õàíãàìæ/íýãäýë</t>
  </si>
  <si>
    <t>6,21,94</t>
  </si>
  <si>
    <t>"Адуунчулуун" ХК</t>
  </si>
  <si>
    <t>Àäóóí÷óë.í¿¿ðñ.óóðõàé</t>
  </si>
  <si>
    <t>DO</t>
  </si>
  <si>
    <t>ÄÎ</t>
  </si>
  <si>
    <t>"Азык" ХК</t>
  </si>
  <si>
    <t>Áª.Õ¿íñ.¿éëäâýð</t>
  </si>
  <si>
    <t>BE</t>
  </si>
  <si>
    <t>B</t>
  </si>
  <si>
    <t>Áª</t>
  </si>
  <si>
    <t>ÕÕÊ</t>
  </si>
  <si>
    <t>"Алтай нэгдэл" ХК</t>
  </si>
  <si>
    <t>"Àëòàé" íýãäýë</t>
  </si>
  <si>
    <t>HO</t>
  </si>
  <si>
    <t>6,25,92</t>
  </si>
  <si>
    <t>"Алтайн зам" ХК</t>
  </si>
  <si>
    <t>Õîâä Çàì.áàð.àø.êîíòîð</t>
  </si>
  <si>
    <t>ÕÎ</t>
  </si>
  <si>
    <t>11,3,92</t>
  </si>
  <si>
    <t>2002,12,16¯ÖÕ-íû òîãòîîëîîð òºðèéí ìýäëèéí õóâüöààíààñ õàñàëò õèéâ 12,17</t>
  </si>
  <si>
    <t>"Анод банк" ХК</t>
  </si>
  <si>
    <t>"Анод банк" ХХК</t>
  </si>
  <si>
    <t>арилжааны банк</t>
  </si>
  <si>
    <t>ANO</t>
  </si>
  <si>
    <t>СЗХ</t>
  </si>
  <si>
    <t>2008,05,16</t>
  </si>
  <si>
    <t>"АПУ" ХК</t>
  </si>
  <si>
    <t>Àðõè ïèâîíû êîìáèíàò</t>
  </si>
  <si>
    <t>5,18,92</t>
  </si>
  <si>
    <t>"Ард даатгал" ХК</t>
  </si>
  <si>
    <t>Даатгалын үйл ажиллагаа</t>
  </si>
  <si>
    <t>2018.06.13</t>
  </si>
  <si>
    <t>"Ар Баянхангай" ХК</t>
  </si>
  <si>
    <t>Àðõàíãàé Õóä. ãàçàð</t>
  </si>
  <si>
    <t>1,3,94</t>
  </si>
  <si>
    <t>"Арвижих" ХК</t>
  </si>
  <si>
    <t>Íîãîîíû êîìáèíàòûí 2-ð àæ àõóé</t>
  </si>
  <si>
    <t>ARJ</t>
  </si>
  <si>
    <t>C</t>
  </si>
  <si>
    <t>11,18,72</t>
  </si>
  <si>
    <t>"Ард кредит ББСБ" ХК</t>
  </si>
  <si>
    <t>Банк бус зээлийн ү/а</t>
  </si>
  <si>
    <t>"Ариг гал" ХК</t>
  </si>
  <si>
    <t>ÓÁ Ýýðìýë. ¿éëäâýð</t>
  </si>
  <si>
    <t>7,21,92</t>
  </si>
  <si>
    <t>"АСБИ" ХК</t>
  </si>
  <si>
    <t>Çàì áàð. àøèã.òðåñò</t>
  </si>
  <si>
    <t>CND</t>
  </si>
  <si>
    <t>6,1,93</t>
  </si>
  <si>
    <t>2002,01ñàð</t>
  </si>
  <si>
    <t>"Атар-Өргөө" ХК</t>
  </si>
  <si>
    <t>ÓÁ òàëõíû ¿éëäâýð</t>
  </si>
  <si>
    <t>4,6,92</t>
  </si>
  <si>
    <t>"Ачит алхабы" ХК</t>
  </si>
  <si>
    <t>Áª,Íîãîîíóóð ÒÀÀ</t>
  </si>
  <si>
    <t xml:space="preserve">"Ай түүлс" ХК </t>
  </si>
  <si>
    <t>Мэдээлэл технологи</t>
  </si>
  <si>
    <t>"Барилга корпораци" ХК</t>
  </si>
  <si>
    <t>Áàðèëãà ¿éëäâ.íýãäýë</t>
  </si>
  <si>
    <t>1,18,97</t>
  </si>
  <si>
    <t>¯ÖÕ-íû 2005.6.24-40 òîîò òîãòîîëûã ¿íäñýëýí 2005.10.26-íä ÌÕÁ-ä á¿ðòãýâ.20383 øèðõýã</t>
  </si>
  <si>
    <t xml:space="preserve">       2006.05.25-ä ÌÕÁ-ä 9617øèðõýãèéã íýìæ á¿ðòãýâ.</t>
  </si>
  <si>
    <t>"Баян-Алдар" ХК</t>
  </si>
  <si>
    <t xml:space="preserve">¯/¯éë÷.èìïåêñ </t>
  </si>
  <si>
    <t>ZA</t>
  </si>
  <si>
    <t>ÇÀ</t>
  </si>
  <si>
    <t>11,17,94</t>
  </si>
  <si>
    <t>103366òºð ÒÒÕÀ</t>
  </si>
  <si>
    <t>"Баянгол зочид буудал" ХК</t>
  </si>
  <si>
    <t>Áàÿíãîë ÇÁ</t>
  </si>
  <si>
    <t>2005.06.07-32òîîò ¯ÖÕ-íû òîãòîîëîîð 423065*60 áîëãîí ººð÷ëºâ.</t>
  </si>
  <si>
    <t>ÕÊ-èéí õ¿ñýëòýýð ººð÷ëºëò õèéñýíã¿é.</t>
  </si>
  <si>
    <t>"Баянталбай" ХК</t>
  </si>
  <si>
    <t>Äîðíîä.Õýðëýí ÑÀÀ</t>
  </si>
  <si>
    <t>BTL</t>
  </si>
  <si>
    <t>6,15,92</t>
  </si>
  <si>
    <t>2003.11.18-104, 2004.05.25-53 òîîò òîãòîîë, ãýð÷èëãýýã ¿íäýñëýí Òª-èéí õóâüöààíä 2004.07.29-íä õàñàëò õèéâ.</t>
  </si>
  <si>
    <t>2004.08.20 ºäºð òºðèéí ìýäëèéí õóâüöààíààñ õàñàëò õèéâ</t>
  </si>
  <si>
    <t>"Баялаг-Сүмбэр" ХК</t>
  </si>
  <si>
    <t>Òºâ.Îêòÿáðü ÑÀÀ</t>
  </si>
  <si>
    <t>TE</t>
  </si>
  <si>
    <t>Òª</t>
  </si>
  <si>
    <t>"Би Ди Сек" ХК</t>
  </si>
  <si>
    <t>Áðîêåð äèëåð, àíäåððàéòåð, õºðºíãº îðóóëàëòûí ñàíãèéí</t>
  </si>
  <si>
    <t>2006.06.22-íä á¿ðòãýâ. ¯ÖÕ-íû 2006-01-11-íû 06 òîîòîîð</t>
  </si>
  <si>
    <t>"Бинсэ" ХК</t>
  </si>
  <si>
    <t>32-ð àâòîáààç</t>
  </si>
  <si>
    <t>BHR</t>
  </si>
  <si>
    <t>6,7,93</t>
  </si>
  <si>
    <t>"Блюскай секьюритиз" ХК</t>
  </si>
  <si>
    <t>Õóä.áýëò.íèéò.õîîë.</t>
  </si>
  <si>
    <t>5,28,92</t>
  </si>
  <si>
    <t>"Бороогийн үйлдвэр" ХК</t>
  </si>
  <si>
    <t>Áîðîî-í àëòíû óóðõàé</t>
  </si>
  <si>
    <t>SB</t>
  </si>
  <si>
    <t>BRO</t>
  </si>
  <si>
    <t>5,7,98</t>
  </si>
  <si>
    <t>80060òºðä</t>
  </si>
  <si>
    <t>Áàéðøëûí êîäûã 2005.03.22-íä ñîëèâ.</t>
  </si>
  <si>
    <t>"Борнуур" ХК</t>
  </si>
  <si>
    <t>Áîðíóóð ÑÀÀ</t>
  </si>
  <si>
    <t>BOR</t>
  </si>
  <si>
    <t>"Бөөний худалдаа" ХК</t>
  </si>
  <si>
    <t>Áººíèé õóäàëä.íýãäýë</t>
  </si>
  <si>
    <t>BHL</t>
  </si>
  <si>
    <t>11,7,94</t>
  </si>
  <si>
    <t>"Бөхөг" ХК</t>
  </si>
  <si>
    <t>ÓÁ Øóâóóí ôàáðèê</t>
  </si>
  <si>
    <t>6,8,92</t>
  </si>
  <si>
    <t>"Булган ундарга" ХК</t>
  </si>
  <si>
    <t>Áóëãàí ÓÀÀ-í áàðèë óãñð</t>
  </si>
  <si>
    <t>BU</t>
  </si>
  <si>
    <t>ÁÓ</t>
  </si>
  <si>
    <t>5,27,93</t>
  </si>
  <si>
    <t>"Бүтээлч Үйлс" ХК</t>
  </si>
  <si>
    <t>Íàëàéõûí Î¸äë.¿éëäâýð</t>
  </si>
  <si>
    <t>12,24,92</t>
  </si>
  <si>
    <t>"Бэрх уул" ХК</t>
  </si>
  <si>
    <t>Óóë óóðõàé,àëò îëáîðëîëò</t>
  </si>
  <si>
    <t>3,29,2000</t>
  </si>
  <si>
    <t>2002,04,11-íä á¿ðòãýâ.</t>
  </si>
  <si>
    <t>2005.01.25-íä òºðèéí ìýäëèéí õóâüöààã ÒªÕ-íû òîãòîîëûí äàãóó õàñàâ.</t>
  </si>
  <si>
    <t>2005.02.25-íä 33 õóâü çàðàãäàâ.</t>
  </si>
  <si>
    <t>ÒªÕ-íû 2005.02.03-íû 28òîîòîîð òºðéèí ìýäëèéí 6,290,487 øèðõýã áóþó 33%-èéã õóâüä øèëæ¿¿ëýâ.</t>
  </si>
  <si>
    <t>"Ган хийц" ХК</t>
  </si>
  <si>
    <t>Áàð.òºìºð õèéö. ¿éëäâýð</t>
  </si>
  <si>
    <t>12,10,92</t>
  </si>
  <si>
    <t>"Ган хэрлэн" ХК</t>
  </si>
  <si>
    <t>"Õýðëýí" çî÷. áóóäàë</t>
  </si>
  <si>
    <t>8,24,93</t>
  </si>
  <si>
    <t>çºð¿¿òýé 10000 /òºðèéí õóâüöàà/</t>
  </si>
  <si>
    <t>1993,09,22</t>
  </si>
  <si>
    <t xml:space="preserve">                                                                                                2006 îíû 06-05-íä Òª-÷èéí 10,000 øèðõýãèéã õóâü÷ëàâ</t>
  </si>
  <si>
    <t>"Гермес центр" ХК</t>
  </si>
  <si>
    <t>"Ãермес центр" ÕХÊ</t>
  </si>
  <si>
    <t>Худалдаа, түрээсийн үйлчилгээ</t>
  </si>
  <si>
    <t>"Глобал монголиа холдингс" ХК</t>
  </si>
  <si>
    <t>ªâºðõàíãàé ÕÌÊ</t>
  </si>
  <si>
    <t>HML</t>
  </si>
  <si>
    <t>"Говь" ХК</t>
  </si>
  <si>
    <t>"Ãîâü" ï¿¿ñ</t>
  </si>
  <si>
    <t>GOV</t>
  </si>
  <si>
    <t>8,23,93</t>
  </si>
  <si>
    <t>2007 îíû 325 òîîò</t>
  </si>
  <si>
    <t xml:space="preserve">ÇÃ-ûí ªÕÊ-ûí 1993-29 òîîòîîð ÌÕÁ-ä 1993-09-10-ãä á¿ðòãýâ. ÒªÕ-íû 2004 îíû 235 òîîòîîð òºðèéí ìýäýë-5730198 áîëñîí. Õàðèí ÒªÕ-íû 2007 îíû 325 òîîòîîð òºðèéí ìýäýëã¿é áîëñîí. </t>
  </si>
  <si>
    <t>"Говийн өндөр" ХК</t>
  </si>
  <si>
    <t>ªìíº.Õ¿íñíèé ¿éëäâýð</t>
  </si>
  <si>
    <t>ªÌ</t>
  </si>
  <si>
    <t>"Силк нэт" ХК</t>
  </si>
  <si>
    <t>Ýðäýíýò ç¿ñìýë ¿éëäâýð</t>
  </si>
  <si>
    <t>8,25,92</t>
  </si>
  <si>
    <t>"Гонир" ХК</t>
  </si>
  <si>
    <t>Ñýë.Áàðóóíõàðàà Ò¯</t>
  </si>
  <si>
    <t>GNR</t>
  </si>
  <si>
    <t>ÑÝ</t>
  </si>
  <si>
    <t>5,29,92</t>
  </si>
  <si>
    <t>"Гурил тэжээл Булган" ХК</t>
  </si>
  <si>
    <t>Áóëãàí.Ãóð. òýæ.¿éëäâýð</t>
  </si>
  <si>
    <t>2,8,93</t>
  </si>
  <si>
    <t>"Гурил" ХК</t>
  </si>
  <si>
    <t>Óâñ. ãóð.òýæýýë.¿éëäâýð</t>
  </si>
  <si>
    <t>UV</t>
  </si>
  <si>
    <t>ÓÂ</t>
  </si>
  <si>
    <t>5,12,92</t>
  </si>
  <si>
    <t>"Гутал" ХК</t>
  </si>
  <si>
    <t>Ãóòëûí ¿éëäâýð</t>
  </si>
  <si>
    <t>7,7,92</t>
  </si>
  <si>
    <t>"Даваанбулаг" ХК</t>
  </si>
  <si>
    <t>Ñààë.400 ¿íýý/ ôåðì</t>
  </si>
  <si>
    <t>"Дархан гурил тэжээл" ХК</t>
  </si>
  <si>
    <t>Äàðõàíû ãóðèë. ¿éëäâýð</t>
  </si>
  <si>
    <t>ÄÀ</t>
  </si>
  <si>
    <t>1,11,93</t>
  </si>
  <si>
    <t>íýìæ ãàðãàñàí øèðõýã-582812_ àíõíû ãàðãàñàí-614603</t>
  </si>
  <si>
    <t>2005.01.20-02¯ÖÕ-íû òîãòîîëîîð íýìæ ¿ö á¿ðòãýâ.2005.01.31-íä , ãîìäîë ãàðñíû äàãóó áóöààí õàñàâ.2005.03.17-íä íýìæ á¿ðòãýâ.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</si>
  <si>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</si>
  <si>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"Дархан хүнс" ХК</t>
  </si>
  <si>
    <t>Äàðõàí Õ¿íñ.êîìáèíàò</t>
  </si>
  <si>
    <t>12,20,93</t>
  </si>
  <si>
    <t>"Дархан зочид буудал" ХК</t>
  </si>
  <si>
    <t>Äàðõàí çî÷èä áóóäàë</t>
  </si>
  <si>
    <t>5,5,93</t>
  </si>
  <si>
    <t>"Дархан Сэлэнгийн цахилгаан түгээх сүлжээ" ХК</t>
  </si>
  <si>
    <t>Öàõèëãààí ýð÷èì õ¿÷ ò¿ãýýõ, õàíãàõ</t>
  </si>
  <si>
    <t>2003,09,11-íä á¿ðòãýâ</t>
  </si>
  <si>
    <t>2004,04,20-íä ÒªÕ2003,11,27-716 òîîò òîãòîîë ¿íäýñëýí òºð õàñàâ.</t>
  </si>
  <si>
    <t>"Дархан нэхий" ХК</t>
  </si>
  <si>
    <t>Äàðõàíû íýõèé ýäëýë</t>
  </si>
  <si>
    <t>5,26,92</t>
  </si>
  <si>
    <t>"Дархан хөвөн" ХК</t>
  </si>
  <si>
    <t>Äàðõ.Ýðä.õºâ.¿éëäâýð</t>
  </si>
  <si>
    <t>1,2,93</t>
  </si>
  <si>
    <t>"Дорнод авто зам" ХК</t>
  </si>
  <si>
    <t>ÑÇÕ-íû 2007.01.19-íû 05 òîîòîîð 100 òºãðºãèéí íýðëýñýí ¿íýòýé 74922 øèðõýã õóâüöààã 2007.02.10-íä ÌÕÁ-ä á¿ðòãýããäýâ.</t>
  </si>
  <si>
    <t>2006-03-26-íä ÌÕÁ-ýýð òºðèéí ìýäëèéã àðèëæèâ.  68029 /90.8%/</t>
  </si>
  <si>
    <t>"Дорнод" ХК</t>
  </si>
  <si>
    <t>Äîðíîäûí Ìàõêîìáèíàò</t>
  </si>
  <si>
    <t>DRN</t>
  </si>
  <si>
    <t>"Дорнод Импэкс" ХК</t>
  </si>
  <si>
    <t>Ãàä.õóä.äàìæë. áààç</t>
  </si>
  <si>
    <t>6,28,93</t>
  </si>
  <si>
    <t>12,69 Yujiro Japan</t>
  </si>
  <si>
    <t>32725òºðä òòõà</t>
  </si>
  <si>
    <t>"Дорнод худалдаа" ХК</t>
  </si>
  <si>
    <t>Äîðíîä Áººí.áààç</t>
  </si>
  <si>
    <t>6,4,93</t>
  </si>
  <si>
    <t>"Дөрвөн-Уул" ХК</t>
  </si>
  <si>
    <t>Õ¿¿õä.õóâö.2-ð ¿éëäâýð</t>
  </si>
  <si>
    <t>"Дэвшил мандал" ХК</t>
  </si>
  <si>
    <t>Äóíäãîâü ÁÌ¿éëäâýð</t>
  </si>
  <si>
    <t>DU</t>
  </si>
  <si>
    <t>ÄÓ</t>
  </si>
  <si>
    <t>4,26,93</t>
  </si>
  <si>
    <t>"Евроазиа капитал холдинг" ХК</t>
  </si>
  <si>
    <t>Àðõóñò ñóìûí ÒÀÀ</t>
  </si>
  <si>
    <t>5,9,92</t>
  </si>
  <si>
    <t>ÌÕÁ</t>
  </si>
  <si>
    <t>"Е-Моние" ХК</t>
  </si>
  <si>
    <t>Áàÿíõàðààòûí ÑÀÀ</t>
  </si>
  <si>
    <t>4,1,94</t>
  </si>
  <si>
    <t>"Жинст-Увс" ХК</t>
  </si>
  <si>
    <t>Óâñ Ç¿¿íòóðóóí ÑÀÀ</t>
  </si>
  <si>
    <t>7,1,93</t>
  </si>
  <si>
    <t>"Жуулчин говь" ХК</t>
  </si>
  <si>
    <t>Àéìãèéí æóóë÷. áààç</t>
  </si>
  <si>
    <t>"Жуулчин дюти фрий" ХК</t>
  </si>
  <si>
    <t>ÓÁ ñ¿ëæìýë 1-ð ¿éëäâýð</t>
  </si>
  <si>
    <t>4,16,92</t>
  </si>
  <si>
    <t>ÑÇÕ-íû 2001-01-19-íû 08 òîîòîîð ÌÕÁ-ä 2007-04-25-íä ººð÷ëºëò îðîâ. 115839-ã õàñ÷ 65362 áîëîâ.</t>
  </si>
  <si>
    <t>"Женко тур бюро" ХК</t>
  </si>
  <si>
    <t>Àÿëàë æóóë÷ëàë</t>
  </si>
  <si>
    <t>2006.01.17-íä á¿ðòãýâ.</t>
  </si>
  <si>
    <t>¯ÖÕ2006.01.11-5òîãòîîë</t>
  </si>
  <si>
    <t>"Завхан Баялаг" ХК</t>
  </si>
  <si>
    <t>Çàâõàí Õ¿íñ.¿éëäâýð</t>
  </si>
  <si>
    <t>10,15,92</t>
  </si>
  <si>
    <t xml:space="preserve">"Зоос банк" ХК </t>
  </si>
  <si>
    <t>Àðèëæààíû áàíêíû ¿éë àæèëëàãàà</t>
  </si>
  <si>
    <t>ZSB</t>
  </si>
  <si>
    <t>2006.01.16-íä á¿ðòãýâ.</t>
  </si>
  <si>
    <t>¯ÖÕ2006.01.11-3òîãòîîë</t>
  </si>
  <si>
    <t>"Ингэттолгой" ХК</t>
  </si>
  <si>
    <t>Èíãýòòîëãîéí ÑÀÀ</t>
  </si>
  <si>
    <t>7,6,93</t>
  </si>
  <si>
    <t>63410òºðäòòõà</t>
  </si>
  <si>
    <t>¯ÖÕ-íû 2003,09,18-íû 63 òîîò òîãòîîëîîð õàñàâ,</t>
  </si>
  <si>
    <t>"Их барилга" ХК</t>
  </si>
  <si>
    <t>Óâñûí áàðèëãà áèðæ</t>
  </si>
  <si>
    <t>"Инвескор ББСБ" ХК</t>
  </si>
  <si>
    <t>Санхүү</t>
  </si>
  <si>
    <t xml:space="preserve">"ЛэндМН ББСБ" ХК </t>
  </si>
  <si>
    <t>"Люкс занаду групп" ХК</t>
  </si>
  <si>
    <t>Äàð.ÁÌ¯Ä ÀÌÌÁààç</t>
  </si>
  <si>
    <t>3,24,92</t>
  </si>
  <si>
    <t>"Мандалговь импэкс" ХК</t>
  </si>
  <si>
    <t>Äóíäã.Áàðèëã. Íýãòãýë</t>
  </si>
  <si>
    <t>6,1,92</t>
  </si>
  <si>
    <t>"Мандал даатгал" ХК</t>
  </si>
  <si>
    <t>Мандал Даатгал</t>
  </si>
  <si>
    <t>2018.05.07</t>
  </si>
  <si>
    <t>"Махимпекс" ХК</t>
  </si>
  <si>
    <t>Ìàõèìïåêñ ï¿¿ñ</t>
  </si>
  <si>
    <t>10,27,92</t>
  </si>
  <si>
    <t>"Материалимпэкс" ХК</t>
  </si>
  <si>
    <t>ÌÈÕÍýãäýë</t>
  </si>
  <si>
    <t>12,17,93</t>
  </si>
  <si>
    <t>"МИК Холдинг" ХК</t>
  </si>
  <si>
    <t>"Мерекс" ХК</t>
  </si>
  <si>
    <t>Бетон зуурмагийн үйлдвэр</t>
  </si>
  <si>
    <t>2014.01.14</t>
  </si>
  <si>
    <t>2013.12.18-ны 514</t>
  </si>
  <si>
    <t>"Монгео" ХК</t>
  </si>
  <si>
    <t>Ãåî/ø"Ãåîëîãè" íýãäýë</t>
  </si>
  <si>
    <t>7,19,93</t>
  </si>
  <si>
    <t>"Монгол алт" ХК</t>
  </si>
  <si>
    <t>Ãåîë. "Äàðõàí" íýãäýë</t>
  </si>
  <si>
    <t/>
  </si>
  <si>
    <t>"Монгол дизель" ХК</t>
  </si>
  <si>
    <t>27-ð àâòî áààç</t>
  </si>
  <si>
    <t>4,20,93</t>
  </si>
  <si>
    <t>"Монгол керамик" ХК</t>
  </si>
  <si>
    <t>ÓÁ Êåðàìèê ýäë.êîìáèíàò</t>
  </si>
  <si>
    <t>"Монгол нэхмэл" ХК</t>
  </si>
  <si>
    <t>Íîîñîí íýõìýë ¿éëäâýð</t>
  </si>
  <si>
    <t>2002 îíä ¯Ö íýìæ á¿ðòãýâ.</t>
  </si>
  <si>
    <t>"Монгол савхи" ХК</t>
  </si>
  <si>
    <t>Ñàâõèí ýäëýëèéí ¿éëäâýð</t>
  </si>
  <si>
    <t>7,1,92</t>
  </si>
  <si>
    <t>"Монгол шевро" ХК</t>
  </si>
  <si>
    <t>Øåâðîíû ¿éëäâýð</t>
  </si>
  <si>
    <t>1,12,93</t>
  </si>
  <si>
    <t>"Монинжбар" ХК</t>
  </si>
  <si>
    <t>Íèéãýì àõóéí áàðèëãà</t>
  </si>
  <si>
    <t>2002 îíä ÕÊ õóâààãäñàí.</t>
  </si>
  <si>
    <t>ÑÇÕ-íû 2006.10.26-íû ¹ 51,  2006.12.14-íû ¹ 907 òîîòîîð 1:57 áîëãîí ººð÷ëºâ. Íýãæèéí ¿íèéã 2002 îíîîñ 5725 òºãðºã áîëãîñîí.</t>
  </si>
  <si>
    <t>"Мон Ит Бултгаар" ХК</t>
  </si>
  <si>
    <t>Õðîìûí ¿éëäâýð</t>
  </si>
  <si>
    <t>4,25,92</t>
  </si>
  <si>
    <t>ÒªÕ-íû 2006.12.04-íèé 12/2168 òîîò, Ìîíãîëáàíêíû 2006.11.10-íû 7/1963 òîîòûã ¿íäýñëýí òºðèéí ìýäëèéí 69.6% /278,388 øèðõýã/-èéã õóâüä øèëæ¿¿ëýâ.</t>
  </si>
  <si>
    <t>"Мон Наб" ХК</t>
  </si>
  <si>
    <t>4,20,95</t>
  </si>
  <si>
    <t>1995-04-28-íä á¿ðòãýâ</t>
  </si>
  <si>
    <t>"Монноос" ХК</t>
  </si>
  <si>
    <t>Íîîñ óãààõ ¿éëäâýð</t>
  </si>
  <si>
    <t>MNS</t>
  </si>
  <si>
    <t>4,11,92</t>
  </si>
  <si>
    <t>"Монголын хөгжил үндэсний нэгдэл" ХК</t>
  </si>
  <si>
    <t>Õî.ÕÀÀ-í íýãäë.õîëáîî</t>
  </si>
  <si>
    <t>8,1,92</t>
  </si>
  <si>
    <t>¿à çîãññîí.</t>
  </si>
  <si>
    <t>"Монгол шилтгээн" ХК</t>
  </si>
  <si>
    <t>Ðåñòîðàí çî÷èä áóóäàë, àÿëàë æóóë÷ëàë</t>
  </si>
  <si>
    <t>2005.05.25-íä á¿ðòãýâ</t>
  </si>
  <si>
    <t>¿à õýâèéí</t>
  </si>
  <si>
    <t>"Монгол секюритиес" ХК</t>
  </si>
  <si>
    <t>ßïîí óëñûí èðãýíèé 100 õóâèéí ÕÎ-òàé êîìïàíè</t>
  </si>
  <si>
    <t>¯íýò öààñíû àðèëæàà</t>
  </si>
  <si>
    <t>66,67 Jujiro Japan</t>
  </si>
  <si>
    <t>2003,03,17-íä á¿ðòãýâ.</t>
  </si>
  <si>
    <t>2003,12,05-íä íýð ººð÷ëºâ.</t>
  </si>
  <si>
    <t>"Монгол базальт" ХК</t>
  </si>
  <si>
    <t xml:space="preserve">Барилгын материал үйлдвэрлэл </t>
  </si>
  <si>
    <t xml:space="preserve">"Монос хүнс" ХК </t>
  </si>
  <si>
    <t>"Мост финтек" ХК</t>
  </si>
  <si>
    <t>MOST</t>
  </si>
  <si>
    <t>"МҮДИКС" ХК</t>
  </si>
  <si>
    <t>¯éëäâýðëýë. íýãòãýë</t>
  </si>
  <si>
    <t>5,5,92</t>
  </si>
  <si>
    <t>"Нако түлш" ХК</t>
  </si>
  <si>
    <t>кокс үйлдвэрлэл, гадаад дотоод худалдаа</t>
  </si>
  <si>
    <t>"Нийслэл өргөө" ХК</t>
  </si>
  <si>
    <t>Óãñàðìàë áàðèëãà</t>
  </si>
  <si>
    <t>5,14,92</t>
  </si>
  <si>
    <t>"Ногоон хөгжил үндэсний нэгдэл" ХК</t>
  </si>
  <si>
    <t>Ýðäýíýò õóä.áýëò.àíãè</t>
  </si>
  <si>
    <t>ÝÐ</t>
  </si>
  <si>
    <t>9,11,92</t>
  </si>
  <si>
    <t>Хувьцаа хуваасан</t>
  </si>
  <si>
    <t>СЗХ-ны 2017.11.24-ны өдрийн 222 тоот тогтоол</t>
  </si>
  <si>
    <t>МХБ-ийн Гүйцэтгэх захирлын 2017.09.11-ы өдрийн А/167 тоот тушаалаар Үнэт цаасны бүртгэлд өөрчлөлт оруулав.</t>
  </si>
  <si>
    <t>"Ноёт хайрхан" ХК</t>
  </si>
  <si>
    <t>Ç¿¿íõàðàà ÁÁÁààç,</t>
  </si>
  <si>
    <t>4,9,93</t>
  </si>
  <si>
    <t>2003,02,18-íä èðãýíä øèëæ¿¿ëýâ.ÒÒÕÀ</t>
  </si>
  <si>
    <t>"Номин хишиг" ХК</t>
  </si>
  <si>
    <t>ÁÕ, ÓÀÀÓÃàçàð</t>
  </si>
  <si>
    <t>BH</t>
  </si>
  <si>
    <t>ÁÕ</t>
  </si>
  <si>
    <t>11,6,92</t>
  </si>
  <si>
    <t>"Нэхээсгүй эдлэл" ХК</t>
  </si>
  <si>
    <t>Íýõýýñã¿é ýäë. ¿éëäâýð</t>
  </si>
  <si>
    <t>6,10,92</t>
  </si>
  <si>
    <t>"Оллоо" ХК</t>
  </si>
  <si>
    <t>Êîìïüþòåðèéí õóäàëäàà, Îíëàéí ñ¿ëæýý</t>
  </si>
  <si>
    <t>2007.09.12</t>
  </si>
  <si>
    <t>"Орхондалай" ХК</t>
  </si>
  <si>
    <t>Îðõîí ÑÀÀ</t>
  </si>
  <si>
    <t>7,5,93</t>
  </si>
  <si>
    <t>2003,12,18-86 òîîò òîãòîîëîîð 2004,01,20-íä ºð÷ëºëò îðóóëàâ.</t>
  </si>
  <si>
    <t>"Орхон хөгжил" ХК</t>
  </si>
  <si>
    <t>"Îðõîíòóóë" ÑÀÀ</t>
  </si>
  <si>
    <t>4,4,94</t>
  </si>
  <si>
    <t>"Өлзий-Дундговь" ХК</t>
  </si>
  <si>
    <t>Äóíäã.Íàéð.íýãäýë</t>
  </si>
  <si>
    <t>"Өндөрхаан" ХК</t>
  </si>
  <si>
    <t>ªíäºðõààíû ÑÀÀ</t>
  </si>
  <si>
    <t>XE</t>
  </si>
  <si>
    <t>ÕÝ</t>
  </si>
  <si>
    <t>1,10,94</t>
  </si>
  <si>
    <t>¹50</t>
  </si>
  <si>
    <t>¯ÖÕ2004,02,06-03òîîò òîãòîîëîîð õóâüöàà õàñàâ.</t>
  </si>
  <si>
    <t>"Өргөн хэрэглээ" ХК</t>
  </si>
  <si>
    <t>Ýðä.Áººí. áàðàà áààç</t>
  </si>
  <si>
    <t>OEE</t>
  </si>
  <si>
    <t>2,4,93</t>
  </si>
  <si>
    <t>"Ремикон" ХК</t>
  </si>
  <si>
    <t>"Ремикон" ХÕÊ</t>
  </si>
  <si>
    <t>Барилгын материал үйлдвэрлэл, гадаад дотоод худалдаа</t>
  </si>
  <si>
    <t>СЗХ-2008.05.08-ны 117 тоот</t>
  </si>
  <si>
    <t>2008.05.19</t>
  </si>
  <si>
    <t>"Силикат" ХК</t>
  </si>
  <si>
    <t>Äàðõ.ñèëèê.òîîñ.¿éëäâýð</t>
  </si>
  <si>
    <t>1,29,93</t>
  </si>
  <si>
    <t>"Сор" ХК</t>
  </si>
  <si>
    <t>¯ñëýã ýäëýë.¿éëäâýð</t>
  </si>
  <si>
    <t>6,22,92</t>
  </si>
  <si>
    <t>"Сонсголон бармат" ХК</t>
  </si>
  <si>
    <t>Ýëñ õàéðã. êàðüåð</t>
  </si>
  <si>
    <t>5,4,92</t>
  </si>
  <si>
    <t>õ¿÷èíã¿é áîëñîí</t>
  </si>
  <si>
    <t>"Стандарт ноос" ХК</t>
  </si>
  <si>
    <t>ÌÒÕÓÃàçàð</t>
  </si>
  <si>
    <t>5,17,94</t>
  </si>
  <si>
    <t>98.02.24</t>
  </si>
  <si>
    <t>155676òºðä òòõà</t>
  </si>
  <si>
    <t>"Стандарт проперти групп" ХК /Баянбогд/</t>
  </si>
  <si>
    <t>Äîðíîãîâü Áàð.íýãòãýë</t>
  </si>
  <si>
    <t>DG</t>
  </si>
  <si>
    <t>BBD</t>
  </si>
  <si>
    <t>ÄîÃ</t>
  </si>
  <si>
    <t>2002,07,10-íû 1/680 òîîò Äîðíîãîâü àéìãèéí ÇÄ-ûí àá-èéí äàãóó 2003,11,05-íä ººð÷ëºëò îðóóëàâ.</t>
  </si>
  <si>
    <t xml:space="preserve">"Стандарт агрикалчер групп" ХК </t>
  </si>
  <si>
    <t>Äàðõàíû ÑÀÀ</t>
  </si>
  <si>
    <t>12,26,93</t>
  </si>
  <si>
    <t>2004,04,20-¯ÖÕ2004,03,18-8òîîò òîãòîîëîîð ººð÷ëºëò îðóóëàâ.</t>
  </si>
  <si>
    <t>"Сүү" ХК</t>
  </si>
  <si>
    <t>ÓÁ ñ¿¿íèé ¿éëäâýð</t>
  </si>
  <si>
    <t>8,31,92</t>
  </si>
  <si>
    <t>ÓÁ õîòûí ÀÕÃÇ-íû ªÕÊ-ûí 1992 îíû 21-ð òîãòîîëîîð ÌÕÁ-ä á¿ðòãýâ</t>
  </si>
  <si>
    <t>"Сэлэнгэ Ар хөвч" ХК</t>
  </si>
  <si>
    <t>Ñ¿õáààòàð ÌÁÊ</t>
  </si>
  <si>
    <t>7,9,92</t>
  </si>
  <si>
    <t>"Эм Эн Ди" ХК /хуучнаар "Сэлэнгэ дулаанхан"/</t>
  </si>
  <si>
    <t>Äóëààíõ/ ìîä áààç</t>
  </si>
  <si>
    <t>8,5,92</t>
  </si>
  <si>
    <t>"Сэлэнгэ-сүрэг" ХК</t>
  </si>
  <si>
    <t>Îðõîí òóóëûí ÑÀÀ</t>
  </si>
  <si>
    <t>SE</t>
  </si>
  <si>
    <t>4,12,94</t>
  </si>
  <si>
    <t>"Тав" ХК</t>
  </si>
  <si>
    <t>Àâòî òýýâýð 5-ð áààç</t>
  </si>
  <si>
    <t>11,16,92</t>
  </si>
  <si>
    <t>"Тавилга" ХК</t>
  </si>
  <si>
    <t>¿éëäâýð</t>
  </si>
  <si>
    <t>4,17,92</t>
  </si>
  <si>
    <t>"Талын гал" ХК</t>
  </si>
  <si>
    <t>ÑÁ.í¿¿ðñíèé óóðõàé</t>
  </si>
  <si>
    <t>SU</t>
  </si>
  <si>
    <t>Ñ¯</t>
  </si>
  <si>
    <t>3,18,95</t>
  </si>
  <si>
    <t>"Талх чихэр" ХК</t>
  </si>
  <si>
    <t>Òàëõ ÷èõýð êîìáèíàò</t>
  </si>
  <si>
    <t>"Тахь Ко" ХК</t>
  </si>
  <si>
    <t>ÓÁ Òàõü-êî ï¿¿ñ</t>
  </si>
  <si>
    <t>5,3,92</t>
  </si>
  <si>
    <t>¯ÖÕ-íû 2003,08,06-íû 60 òîîò òîãòîîëûí äàãóó 2003,11,10-íä ººð÷ëºëò îðóóëàâ.2004.06 ñàðä  íýìæ õóâüöàà á¿ðòãýâ.</t>
  </si>
  <si>
    <t>"Техникимпорт" ХК</t>
  </si>
  <si>
    <t>Òåõ.èìïîðò.õàí.íýãäýë</t>
  </si>
  <si>
    <t>"Төмрийн завод" ХК</t>
  </si>
  <si>
    <t>Òºìðèéí çàâîä</t>
  </si>
  <si>
    <t>9,2,92</t>
  </si>
  <si>
    <t>"Тулпар" ХК</t>
  </si>
  <si>
    <t>Áª, Àâòîáààç</t>
  </si>
  <si>
    <t>6,14,93</t>
  </si>
  <si>
    <t>Áàÿíªëãèé àéìãèéí ÀÕÃÇ-íû ªÕÊ-èéí 1993 îíû 04-ð òîãòîîëîîð ÌÕÁ-ä á¿ðòãýâ</t>
  </si>
  <si>
    <t>137103òºðä òòõà</t>
  </si>
  <si>
    <t>"Түмэн шувуут" ХК</t>
  </si>
  <si>
    <t xml:space="preserve">Тахианы шувууны аж ахуй </t>
  </si>
  <si>
    <t>"Түшиг Уул" ХК</t>
  </si>
  <si>
    <t>Äàðõ.Êàðüåð.íýãä.à/à</t>
  </si>
  <si>
    <t>1,4,94</t>
  </si>
  <si>
    <t>"Тээвэр-Ачлал" ХК</t>
  </si>
  <si>
    <t>29-ð àâòîáààç</t>
  </si>
  <si>
    <t>10,1,92</t>
  </si>
  <si>
    <t xml:space="preserve">ÕÕÊ </t>
  </si>
  <si>
    <t>"Тээвэр-Дархан" ХК</t>
  </si>
  <si>
    <t>Äàðõàí ÒÓÃàçàð</t>
  </si>
  <si>
    <t>11,19,92</t>
  </si>
  <si>
    <t>"Улаанбаатар хивс" ХК</t>
  </si>
  <si>
    <t>ÓÁ Õèâñíèé ¿éëäâýð</t>
  </si>
  <si>
    <t>3,23,92</t>
  </si>
  <si>
    <t>2004,04,21-íä íýð ººð÷ëºâ.</t>
  </si>
  <si>
    <t>"УБ-БҮК" ХК</t>
  </si>
  <si>
    <t>ÓÁ Á¯Ê-2</t>
  </si>
  <si>
    <t>10,20,92</t>
  </si>
  <si>
    <t>"Увс хүнс" ХК</t>
  </si>
  <si>
    <t>Óâñûí õ¿íñíèé ¿éëä</t>
  </si>
  <si>
    <t>5,13,92</t>
  </si>
  <si>
    <t>"Увс чацаргана" ХК</t>
  </si>
  <si>
    <t>Óëààíòîëã.÷àöàð.à/ à</t>
  </si>
  <si>
    <t>1,3,95</t>
  </si>
  <si>
    <t>"Улсын Их Дэлгүүр" ХК</t>
  </si>
  <si>
    <t>õóäàëäàà</t>
  </si>
  <si>
    <t>10,16,98</t>
  </si>
  <si>
    <t>949806òºðä ÒÒÕÀ</t>
  </si>
  <si>
    <t>"Улаансан" ХК</t>
  </si>
  <si>
    <t>Óâñ. Áàðóóíòóðóóíû ÑÀÀ</t>
  </si>
  <si>
    <t>UNS</t>
  </si>
  <si>
    <t>1999,4,01-24 òîîò òîãòîîëîîð 2002 îíû 12,6-íä á¿ðòãýâ.</t>
  </si>
  <si>
    <t>24-504Æ.Áàÿðàà</t>
  </si>
  <si>
    <t>"Фронтиер Лэнд Групп" ХК</t>
  </si>
  <si>
    <t>Óñàí öàõèëãààí ñòàíö</t>
  </si>
  <si>
    <t>ÑÇÕ-2007-03-15-íû 33 òîîòîîð ÌÕÁ-ä 2007-04-13-íä á¿ðòãýãäýâ.</t>
  </si>
  <si>
    <t>"Хай Би Ойл" ХК</t>
  </si>
  <si>
    <t>"Õàé Áè Îéë" ÕХÊ</t>
  </si>
  <si>
    <t>Øàòàõóóíû õóäàëäàà, òîñíû ¿éëäâýðëýë</t>
  </si>
  <si>
    <t>-</t>
  </si>
  <si>
    <t>2007,05,03</t>
  </si>
  <si>
    <t>2008,01,24</t>
  </si>
  <si>
    <t>Нэмж үнэт цаас гаргасан</t>
  </si>
  <si>
    <t>2007-11-29-ны 182 тоот</t>
  </si>
  <si>
    <t>ÑÇÕ-2007-04-19-íû 41 òîîòîîð ÌÕÁ-ä 2007-05-03-íä á¿ðòãýãäýâ. 100òºãèéí íýðëýñýí ¿íýòýé.</t>
  </si>
  <si>
    <t>"Хар тарвагатай" ХК</t>
  </si>
  <si>
    <t>Õàð òàðâ.í¿¿ðñ.óóðõàé</t>
  </si>
  <si>
    <t>1,14,95</t>
  </si>
  <si>
    <t>"Хархорин" ХК</t>
  </si>
  <si>
    <t>Õàðõîðèí ÑÀÀ</t>
  </si>
  <si>
    <t>11,5,92</t>
  </si>
  <si>
    <t xml:space="preserve">Өвөрхангай аймгийн ИТХ-ын 2007-06-27-ны </t>
  </si>
  <si>
    <t xml:space="preserve">47 тоот </t>
  </si>
  <si>
    <t>ÒªÕ-íû 2,26-íû õóðëààð 70 õóâèéã íýýëòòýé óðàëäààíä øàëãàðóóëàëòààð õóâü÷ëàõààð øèéäâýðëýñýí áàéíà.</t>
  </si>
  <si>
    <t>"Хар хорум пропертийс" ХК</t>
  </si>
  <si>
    <t>Õàðõîðèí õ¿íñ.¿éëäâýð</t>
  </si>
  <si>
    <t>òºðèéí</t>
  </si>
  <si>
    <t>"Хасу-мандал" ХК</t>
  </si>
  <si>
    <t>ÀÐ. Çàÿ ìàíäàë</t>
  </si>
  <si>
    <t>12,8,93</t>
  </si>
  <si>
    <t>"Хот девелопмент" ХК</t>
  </si>
  <si>
    <t>Ç¿¿íòóðóóí ÕÊ</t>
  </si>
  <si>
    <t>"Хоринхоёрдугаар бааз" ХК</t>
  </si>
  <si>
    <t>ÀÒ-ûí 22-ð áààç</t>
  </si>
  <si>
    <t>9,9,92</t>
  </si>
  <si>
    <t>49,74 Ò,Òàêàøè ßïîí</t>
  </si>
  <si>
    <t>2002,11,14-58òîîò òîãòîîëîîð 406000øèðõýã õóâüöààã 2003,01,09-íä íýìæ á¿ðòãýâ.</t>
  </si>
  <si>
    <t>"Хорго хайрхан" ХК</t>
  </si>
  <si>
    <t>Ýðäýíýñàíòûí ÒÀÀ</t>
  </si>
  <si>
    <t>7,20,92</t>
  </si>
  <si>
    <t>"Хөвсгөл алтан дуулга" ХК</t>
  </si>
  <si>
    <t>Õºâñ.Òàðèàëàí ÑÀÀ</t>
  </si>
  <si>
    <t>3,16,94</t>
  </si>
  <si>
    <t>çºð¿¿òýé</t>
  </si>
  <si>
    <t>79972òºðä òòõà</t>
  </si>
  <si>
    <t>"Хөвсгөл геологи" ХК</t>
  </si>
  <si>
    <t>Ãåîë."Õºâñãºë" íýãäýë</t>
  </si>
  <si>
    <t>5,20,92</t>
  </si>
  <si>
    <t>"Хөвсгөл" ХК</t>
  </si>
  <si>
    <t>Ìºðºí.Îé ìîä.¿éëäâýð</t>
  </si>
  <si>
    <t>26498òºðä òòõà</t>
  </si>
  <si>
    <t>"Хөвсгөл усан зам" ХК</t>
  </si>
  <si>
    <t>Õºâñã,Óñàí çàì.ãàçàð</t>
  </si>
  <si>
    <t>11,9,93</t>
  </si>
  <si>
    <t>"Хөвсгөл хүнс" ХК</t>
  </si>
  <si>
    <t>Õºâñãºë, õ¿íñ. ¿éëäâýð</t>
  </si>
  <si>
    <t>8,22,94</t>
  </si>
  <si>
    <t>"Хөдөөгийн тээвэр" ХК</t>
  </si>
  <si>
    <t>ÕÕÀÀß, àâòîáààç</t>
  </si>
  <si>
    <t>HUT</t>
  </si>
  <si>
    <t>8,5,93</t>
  </si>
  <si>
    <t>"Хөнгөн бетон" ХК</t>
  </si>
  <si>
    <t>Õºíãºí áåòîí çàâîä</t>
  </si>
  <si>
    <t>"Хөсөг трейд" ХК</t>
  </si>
  <si>
    <t>ÓÁ¯Í-èéí ÀÌÌÁààç</t>
  </si>
  <si>
    <t>"Õºòºëèéí öåìåíò øîõîé"ÕÊ</t>
  </si>
  <si>
    <t>öåìåíò, øîõîé, äóëààí ¿éëäâýðëýë</t>
  </si>
  <si>
    <t>"Хөх ган" ХК</t>
  </si>
  <si>
    <t>"Õºх ган" ÕХÊ</t>
  </si>
  <si>
    <t>Төмөрлөгийн үйлдвэр</t>
  </si>
  <si>
    <t>СЗХ-ны 2008-06-12-ны 137 тоот</t>
  </si>
  <si>
    <t>"Хуртай" ХК</t>
  </si>
  <si>
    <t>"Îðãèë" êîìï (Äàðõ)</t>
  </si>
  <si>
    <t>7,15,93</t>
  </si>
  <si>
    <t>"Хүнс-Архангай" ХК</t>
  </si>
  <si>
    <t>Àðõ. Õ¿íñíèé ¿éëäâýð</t>
  </si>
  <si>
    <t>"Хүннү менежмент" ХК</t>
  </si>
  <si>
    <t>ÕÀÀ áàð.çóðã.èíñòèòóò</t>
  </si>
  <si>
    <t>"Хүрд" ХК</t>
  </si>
  <si>
    <t>Öàõèëãààí ñàíòåõíèê óãñðàëòûí íýãäñýí òðåñò</t>
  </si>
  <si>
    <t>7,15,92</t>
  </si>
  <si>
    <t>"Хэрлэн хивс" ХК</t>
  </si>
  <si>
    <t>×îéáàëñ. õèâñ.êîìáèíàò</t>
  </si>
  <si>
    <t>HRL</t>
  </si>
  <si>
    <t>"Цагаантолгой" ХК</t>
  </si>
  <si>
    <t>Öàãààíòîëãîé ÑÀÀ</t>
  </si>
  <si>
    <t>3,31,94</t>
  </si>
  <si>
    <t>"Шарын гол" ХК</t>
  </si>
  <si>
    <t>Øàðûí ãîë í¿¿ð.óóðõàé</t>
  </si>
  <si>
    <t>5,24,94</t>
  </si>
  <si>
    <t>ÒªÕ-íû 2003,11,13-682 òîîò òîãòîîëîîð 2003,11,20-íû ºäºð òºðèéí ìýäëèéí õóâüöààã õàñàâ.</t>
  </si>
  <si>
    <t>"Шим" ХК</t>
  </si>
  <si>
    <t>Ñýëýíãý.Õ¿íñ ¿éëäâýð</t>
  </si>
  <si>
    <t>SIM</t>
  </si>
  <si>
    <t>6,9,92</t>
  </si>
  <si>
    <t>"Шинэст" ХК</t>
  </si>
  <si>
    <t>"ÁÈÁ" êîìïàíè Ó¯Ã</t>
  </si>
  <si>
    <t>9,1,93</t>
  </si>
  <si>
    <t>"Эрдэнэт хүнс" ХК</t>
  </si>
  <si>
    <t>Ýðä.Õ¿íñíèé ¿éëäâýð</t>
  </si>
  <si>
    <t>"Эрдэнэт-Зандан" ХК</t>
  </si>
  <si>
    <t>Ýðä. ìîä áîëîâñ.¿éëäâýð</t>
  </si>
  <si>
    <t>"Эрээнцав" ХК</t>
  </si>
  <si>
    <t>Ýðýýíöàâ. ÑÀÀ</t>
  </si>
  <si>
    <t>7,15,94</t>
  </si>
  <si>
    <t>13,00   Î.Ñàìåäîâ</t>
  </si>
  <si>
    <t>"Эсгий гутал" ХК</t>
  </si>
  <si>
    <t>Ýñãèé, Ýñãèé ãóòëûí ¿éëäâýð</t>
  </si>
  <si>
    <t>ESG</t>
  </si>
  <si>
    <t>"Э-Транс Ложистикс" ХК</t>
  </si>
  <si>
    <t>Ачаа шилжүүлэн ачих</t>
  </si>
  <si>
    <t xml:space="preserve">"Эрчим Баян-Өлгий" ХК </t>
  </si>
  <si>
    <t>Áàÿí-ªëãèéí ÝÕÍ¯</t>
  </si>
  <si>
    <t>2,28,95</t>
  </si>
  <si>
    <t>2002,5 ñàðä òºðèéí ºì÷èéí õóâüöààíààñ õàññàí.</t>
  </si>
  <si>
    <t>2006-08-31-íä Áª àéìãèéí çàñàã äàðãûí øèéäâýðýýð ººð÷ëºëò îðîâ. 365054 ø-Òª-ã õóâüä øèëæ¿¿ëýâ.</t>
  </si>
  <si>
    <t>"Эрдэнэт авто зам" ХК</t>
  </si>
  <si>
    <t>Çàì çàñâàð</t>
  </si>
  <si>
    <t>2001,10,18</t>
  </si>
  <si>
    <t>"Эрдэнэт Суврага" ХК</t>
  </si>
  <si>
    <t>Çàì,áàð.çàñâàð àíãè</t>
  </si>
  <si>
    <t>12,6,93</t>
  </si>
  <si>
    <t>2003,09,18-64 òîîò òîãòîîëîîð нэгжийн нэрлэсэн үнэ 1291 төг*96091 ш болгон 2003,10,23-íä ººð÷ëºâ.</t>
  </si>
  <si>
    <t>2005.07.05-íä ¯ÖÕ-íû òîãòîîëûí äàãóó mfjnay 60500-г хасч 35591 ш болов.</t>
  </si>
  <si>
    <t xml:space="preserve">"Эрдэнэ Pесурс Девелопмент Корпорэйшн" </t>
  </si>
  <si>
    <t>Уул уурхай</t>
  </si>
  <si>
    <t>Эрдэс баялгийн хайгуул, олборлолт</t>
  </si>
  <si>
    <t>CAN</t>
  </si>
  <si>
    <t>ERDN</t>
  </si>
  <si>
    <t>Íèéò êîìïàíèé òîî:</t>
  </si>
  <si>
    <t>Íèéò õóâüöààíä ýçëýõ õóâü</t>
  </si>
  <si>
    <t>Íèéò õóâüöààíû òîî:</t>
  </si>
  <si>
    <t>ÒªÕ-íèé õàðüÿà 15 ÕÊ</t>
  </si>
  <si>
    <t>Òºðèéí ìýäýëä:</t>
  </si>
  <si>
    <t>Îëîí íèéòýä:</t>
  </si>
  <si>
    <t>Á¯ÐÒÃÝËÈÉÍ ÀËÁÀ</t>
  </si>
  <si>
    <t>Áàéðøëûí êîä:</t>
  </si>
  <si>
    <t>AR      Àðõàíãàé</t>
  </si>
  <si>
    <t xml:space="preserve">     GS     Ãîâüñ¿ìáýð</t>
  </si>
  <si>
    <t>BE      Áàÿí-ªëãèé</t>
  </si>
  <si>
    <t xml:space="preserve">     HE     Õºâñãºë</t>
  </si>
  <si>
    <t>BH      Áàÿíõîíãîð</t>
  </si>
  <si>
    <t xml:space="preserve">     HO    Õîâä</t>
  </si>
  <si>
    <t>BU      Áóëãàí</t>
  </si>
  <si>
    <t xml:space="preserve">     OR    Îðõîí</t>
  </si>
  <si>
    <t>DA      Äàðõàí-Óóë</t>
  </si>
  <si>
    <t xml:space="preserve">     SB     Ñýëýíãý</t>
  </si>
  <si>
    <t>DG     Äîðíîãîâü</t>
  </si>
  <si>
    <t xml:space="preserve">     SU     Ñ¿õáààòàð</t>
  </si>
  <si>
    <t>DO     Äîðíîä</t>
  </si>
  <si>
    <t xml:space="preserve">     TE     Òºâ</t>
  </si>
  <si>
    <t>DU     Äóíäãîâü</t>
  </si>
  <si>
    <t xml:space="preserve">     UV     Óâñ</t>
  </si>
  <si>
    <t>EM     ªìíºãîâü</t>
  </si>
  <si>
    <t xml:space="preserve">     XE     Õýíòèé</t>
  </si>
  <si>
    <t>EV      ªâºðõàíãàé</t>
  </si>
  <si>
    <t xml:space="preserve">     UB     Óëààíáààòàð</t>
  </si>
  <si>
    <t>GA     Ãîâü-Àëòàé</t>
  </si>
  <si>
    <t xml:space="preserve">     ZA     Çàâõàí</t>
  </si>
  <si>
    <t>2010.12.31</t>
  </si>
  <si>
    <t>2011.6.30</t>
  </si>
  <si>
    <t>2011.12.31</t>
  </si>
  <si>
    <t>2012.10.30</t>
  </si>
  <si>
    <t>2013.6.30</t>
  </si>
  <si>
    <t>2013.12.31</t>
  </si>
  <si>
    <t>2014.7.30</t>
  </si>
  <si>
    <t xml:space="preserve">         Ñàëáàðûí êîä:</t>
  </si>
  <si>
    <t>A  Óóë óóðõàé</t>
  </si>
  <si>
    <t>B  Àæ ¿éëäâýð</t>
  </si>
  <si>
    <t>C  ÕÀÀ</t>
  </si>
  <si>
    <t>D  Áàðèëãà, òýýâýð</t>
  </si>
  <si>
    <t>E  Õóäàëäàà, ¿éë÷èëãýý</t>
  </si>
  <si>
    <t>Á¯ÐÒÃÝËÝÝÑ ÕÀÑÀÃÄÑÀÍ ÊÎÌÏÀÍÈÓÄ</t>
  </si>
  <si>
    <t>1997 îíä á¿ðòãýëýýñ õàñàãäñàí êîìïàíèóä</t>
  </si>
  <si>
    <t>Õàñàãäñàí ÁÁÕÊ</t>
  </si>
  <si>
    <t>Äóíäãîâü ÕÕÕîëáîî</t>
  </si>
  <si>
    <t>"Áàÿíãîâü" ÁÁÕÊ</t>
  </si>
  <si>
    <t>LG</t>
  </si>
  <si>
    <t>4,148.7</t>
  </si>
  <si>
    <t>Õýìæ¿¿ð áàãàæ.¿éëä</t>
  </si>
  <si>
    <t>"Æèí õýìæ¿¿ð" ÁÁÕÊ</t>
  </si>
  <si>
    <t>YB</t>
  </si>
  <si>
    <t>LB</t>
  </si>
  <si>
    <t>3,412.2</t>
  </si>
  <si>
    <t>"Ñàëõèâ÷" ÁÁÕÊ</t>
  </si>
  <si>
    <t>LD</t>
  </si>
  <si>
    <t>2,835.6</t>
  </si>
  <si>
    <t>"Èõ ºðãºº" ÁÁÕÊ</t>
  </si>
  <si>
    <t>3,097.6</t>
  </si>
  <si>
    <t>Õàñàãäñàí ÕÊ</t>
  </si>
  <si>
    <t>"Îíãè" ÕÊ</t>
  </si>
  <si>
    <t>ªÕ.ÓÀÀ-í ÁÓÒðåñò</t>
  </si>
  <si>
    <t>5,113.5</t>
  </si>
  <si>
    <t>"Óñíû àæ àõóé"  ÕÊ</t>
  </si>
  <si>
    <t>ÓÀÀ-í Áàð.óãñàð.òðåñò</t>
  </si>
  <si>
    <t>5,125.9</t>
  </si>
  <si>
    <t>Øèíýýð ªâ-Óñæóóëàã÷</t>
  </si>
  <si>
    <t>"Èõ ã¿íä" ÕÊ</t>
  </si>
  <si>
    <t>Ïàðòèçàíû ÑÀÀ</t>
  </si>
  <si>
    <t>11,603.0</t>
  </si>
  <si>
    <t>"Áóìáàò"ÕÊ</t>
  </si>
  <si>
    <t>Àëò.ò¿ð¿¿,ÆàðãàëàíòÁÁÕÊ</t>
  </si>
  <si>
    <t>6,596.5</t>
  </si>
  <si>
    <t>12,28,93</t>
  </si>
  <si>
    <t>3,9,94</t>
  </si>
  <si>
    <t>"Àðàì" ÕÊ</t>
  </si>
  <si>
    <t>Çàñâàð óãñðàëò. ¿éëä</t>
  </si>
  <si>
    <t>37,819.8</t>
  </si>
  <si>
    <t>5,24,93</t>
  </si>
  <si>
    <t>10,25,93</t>
  </si>
  <si>
    <t xml:space="preserve">"Óíäðàãà-Õàðõîðèí" ÕÊ </t>
  </si>
  <si>
    <t>Õàðõîðèíû ÑÀÀ</t>
  </si>
  <si>
    <t>6,780.9</t>
  </si>
  <si>
    <t xml:space="preserve"> ¯ÖÕ-íû 1997 îíû 7-ð ñàðûí 3-íû 79 òîîò òîãòîîëîîð á¿ðòãýëýýñ õàñàãäñàí êîìïàíèóä (7ÕÊ)</t>
  </si>
  <si>
    <t>"Àñãàò" ÕÊ</t>
  </si>
  <si>
    <t>Ãåîë." Àëòàé" íýãäýë</t>
  </si>
  <si>
    <t>1997.7.3</t>
  </si>
  <si>
    <t>9,618.2</t>
  </si>
  <si>
    <t>49,053</t>
  </si>
  <si>
    <t>3,18,92</t>
  </si>
  <si>
    <t>2000,5,31-íä  ñýðãýýãäýâ</t>
  </si>
  <si>
    <t>"Áàÿí-Óíäðàãà" ÕÊ</t>
  </si>
  <si>
    <t>Îêòÿáðü ÑÀÀ</t>
  </si>
  <si>
    <t>10,489.0</t>
  </si>
  <si>
    <t>84,100</t>
  </si>
  <si>
    <t>1,9,92</t>
  </si>
  <si>
    <t>"Áàÿíáóëàã Òºâ" ÕÊ</t>
  </si>
  <si>
    <t>Òºâ "Òàëáóëàã" ÑÀÀ</t>
  </si>
  <si>
    <t>5,899.9</t>
  </si>
  <si>
    <t>25,901</t>
  </si>
  <si>
    <t>1,25,92</t>
  </si>
  <si>
    <t>10,14,93</t>
  </si>
  <si>
    <t>"Áèë¿¿ò" ÕÊ</t>
  </si>
  <si>
    <t>7,573.4</t>
  </si>
  <si>
    <t>38,624</t>
  </si>
  <si>
    <t>2,21,92</t>
  </si>
  <si>
    <t>"Î÷ ãàí" ÕÊ</t>
  </si>
  <si>
    <t>Çàâõàí àâòîçàñâ.ãàç</t>
  </si>
  <si>
    <t>EZ</t>
  </si>
  <si>
    <t>7,927.7</t>
  </si>
  <si>
    <t>11,13,91</t>
  </si>
  <si>
    <t>"ªãººìºð-Áóëãàí" ÕÊ</t>
  </si>
  <si>
    <t>Áó.Õèøèã-ªíä. ÍÄ¯</t>
  </si>
  <si>
    <t>7,036.0</t>
  </si>
  <si>
    <t>11,27,92</t>
  </si>
  <si>
    <t>6,9,93</t>
  </si>
  <si>
    <t>"Ñ¿ìáýð" ÕÊ</t>
  </si>
  <si>
    <t>Ïàðòèçàí. ÑÀÀ</t>
  </si>
  <si>
    <t>8,192.1</t>
  </si>
  <si>
    <t>41,780</t>
  </si>
  <si>
    <t xml:space="preserve"> ¯ÖÕ-íû 1997 îíû 10-ð ñàðûí 30-íû 107 òîîò òîãòîîëîîð á¿ðòãýëýýñ õàñàãäñàí êîìïàíèóä (2ÕÊ)</t>
  </si>
  <si>
    <t>"Äîðíîä áàÿëàã" ÕÊ</t>
  </si>
  <si>
    <t>Õàëõ ãîëûí ÑÀÀ</t>
  </si>
  <si>
    <t>1997.10.30</t>
  </si>
  <si>
    <t>12,351.9</t>
  </si>
  <si>
    <t>5,10,93</t>
  </si>
  <si>
    <t>"Äîðíîä äýâøèë"ÕÊ</t>
  </si>
  <si>
    <t>Øèíýýð "Õàëõ áóóäàé"</t>
  </si>
  <si>
    <t>¯ÖÕ-íû 1997 îíû 12-ð ñàðûí 11-íèé  128   òîîò òîãòîîëîîð á¿ðòãýëýýñ õàñàãäñàí</t>
  </si>
  <si>
    <t>"Ýðýëìàø" ÕÊ</t>
  </si>
  <si>
    <t>ÓÁ.Òýýâð"Ìîíìàø"Ê</t>
  </si>
  <si>
    <t>1997.12.11</t>
  </si>
  <si>
    <t>361,408.7</t>
  </si>
  <si>
    <t>10,19,92</t>
  </si>
  <si>
    <t>2,9,93</t>
  </si>
  <si>
    <t>97.06.12</t>
  </si>
  <si>
    <t>¯ÖÕ-íû 1997 îíû 12-ð ñàðûí 20-íèé  130   òîîò òîãòîîëîîð á¿ðòãýëýýñ õàñàãäñàí</t>
  </si>
  <si>
    <t>Àðõ.îé ìîä/íýãäýë</t>
  </si>
  <si>
    <t>1997.12.20</t>
  </si>
  <si>
    <t>7,577.1</t>
  </si>
  <si>
    <t>"Ãóðâàí òàìèð" ÕÊ</t>
  </si>
  <si>
    <t>Àð/"Ãóðâàí òàìèð"</t>
  </si>
  <si>
    <t>5,769.9</t>
  </si>
  <si>
    <t>6,19,92</t>
  </si>
  <si>
    <t>6,3,93</t>
  </si>
  <si>
    <t xml:space="preserve">"Çàÿ ìàíäàë" ÕÊ </t>
  </si>
  <si>
    <t>Àðõ. ÌÒÕÓÃàçàð</t>
  </si>
  <si>
    <t>G</t>
  </si>
  <si>
    <t>9,346.4</t>
  </si>
  <si>
    <t>"Õ¿íñìàø"ÕÊ</t>
  </si>
  <si>
    <t>Õ¿íñ.¿éëäâ.çàñâ.êîíò</t>
  </si>
  <si>
    <t>8,249.2</t>
  </si>
  <si>
    <t>"Ìîíãîë áóäàã" ÕÊ</t>
  </si>
  <si>
    <t>Ýðäýñ áóäãèéí ¿éëä</t>
  </si>
  <si>
    <t>6,132.6</t>
  </si>
  <si>
    <t>1,8,92</t>
  </si>
  <si>
    <t>9,22,92</t>
  </si>
  <si>
    <t>1997 îíä ¯ÖÕ-íû òîãòîîëîîð á¿ðòãýëýýñ õàñàãäñàí ÕÊ</t>
  </si>
  <si>
    <t>Àð ã¿íò</t>
  </si>
  <si>
    <t>1997.02.27</t>
  </si>
  <si>
    <t>1997.02.27-17</t>
  </si>
  <si>
    <t>Àëòàí ò¿ð¿¿</t>
  </si>
  <si>
    <t>1997.05.22</t>
  </si>
  <si>
    <t>1997.05.22-63</t>
  </si>
  <si>
    <t>Ñýëýíãý</t>
  </si>
  <si>
    <t>1997.07.17</t>
  </si>
  <si>
    <t>1997.07.17-80</t>
  </si>
  <si>
    <t>Àðàâ</t>
  </si>
  <si>
    <t>Ãóóëèí òàë</t>
  </si>
  <si>
    <t>Öýöýðëýã</t>
  </si>
  <si>
    <t>Øàðãà</t>
  </si>
  <si>
    <t>¯äëýãèéí ãýãýý</t>
  </si>
  <si>
    <t>¯ÖÕ-íû 1998 îíû 01-ð ñàðûí 08-íèé  03   òîîò òîãòîîëîîð á¿ðòãýëýýñ õàñàãäñàí</t>
  </si>
  <si>
    <t>"Áóëãàí-Èìïýêñ" ÕÊ</t>
  </si>
  <si>
    <t>Áóëãàí ÕÀÀ-í Áèðæ</t>
  </si>
  <si>
    <t>1998.1.8</t>
  </si>
  <si>
    <t>9,909.4</t>
  </si>
  <si>
    <t>¯ÖÕ-íû 1998 îíû 02-ð ñàðûí 19-íèé 17   òîîò òîãòîîëîîð á¿ðòãýëýýñ õàñàãäñàí</t>
  </si>
  <si>
    <t>"ªãººæ õàí" ÕÊ</t>
  </si>
  <si>
    <t>Õºãíºõàí</t>
  </si>
  <si>
    <t>1998.2.19</t>
  </si>
  <si>
    <t>9,572.0</t>
  </si>
  <si>
    <t>¯ÖÕ-íû 1998 îíû 05-ð ñàðûí 14-íèé 57   òîîò òîãòîîëîîð á¿ðòãýëýýñ õàñàãäñàí</t>
  </si>
  <si>
    <t>"Ãàí æîëîî" ÕÊ</t>
  </si>
  <si>
    <t>ªìíºãîâü 16-ð áààç</t>
  </si>
  <si>
    <t>1998.05.14</t>
  </si>
  <si>
    <t>5,057.5</t>
  </si>
  <si>
    <t>"Äýâæèõ òðåéä" ÕÊ</t>
  </si>
  <si>
    <t>Õºíã.¿éëäâ.áàð.òðåñò</t>
  </si>
  <si>
    <t>5,012.3</t>
  </si>
  <si>
    <t>¯ÖÕ-íû 1998 îíû 06-ð ñàðûí 11-íèé 64   òîîò òîãòîîëîîð á¿ðòãýëýýñ õàñàãäñàí</t>
  </si>
  <si>
    <t>"Ìàíëàé" ÕÊ</t>
  </si>
  <si>
    <t>Õèéìýë ñàâõè ¿éëä</t>
  </si>
  <si>
    <t>1998.6.11</t>
  </si>
  <si>
    <t>7,403.8</t>
  </si>
  <si>
    <t>96.02.10</t>
  </si>
  <si>
    <t>¯ÖÕ-íû 1998 îíû 06-ð ñàðûí 18-íèé 69   òîîò òîãòîîëîîð á¿ðòãýëýýñ õàñàãäñàí</t>
  </si>
  <si>
    <t>"Ìîíãîë òîîñãî" ÕÊ</t>
  </si>
  <si>
    <t>Õàí.ìàò-ûí 2-ð ¿éëä</t>
  </si>
  <si>
    <t>1998.6.18</t>
  </si>
  <si>
    <t>5,475.3</t>
  </si>
  <si>
    <t>¯ÖÕ-íû 1998 îíû 06-ð ñàðûí 25-íèé 71   òîîò òîãòîîëîîð á¿ðòãýëýýñ õàñàãäñàí</t>
  </si>
  <si>
    <t>"Èõ ìàíäàë" ÕÊ</t>
  </si>
  <si>
    <t>"Ç¿¿íõàðàà" ÑÀÀ</t>
  </si>
  <si>
    <t>1998.6.25</t>
  </si>
  <si>
    <t>5,788.8</t>
  </si>
  <si>
    <t>"Íî¸í-Óóë" ÕÊ</t>
  </si>
  <si>
    <t>Ñýë, Ç¿¿íõàðàà ÑÀÀ</t>
  </si>
  <si>
    <t>5,816.8</t>
  </si>
  <si>
    <t>8,8,94</t>
  </si>
  <si>
    <t>¯ÖÕ-íû 1998 îíû 07-ð ñàðûí 29-íèé 75   òîîò òîãòîîëîîð á¿ðòãýëýýñ õàñàãäñàí</t>
  </si>
  <si>
    <t>"Òîâõîíõàí" ÕÊ</t>
  </si>
  <si>
    <t>1998.7.29</t>
  </si>
  <si>
    <t>9,360.8</t>
  </si>
  <si>
    <t>3,2,92</t>
  </si>
  <si>
    <t>3,21,94</t>
  </si>
  <si>
    <t>¯ÖÕ-íû 1998 îíû 08-ð ñàðûí 27-íèé 78   òîîò òîãòîîëîîð á¿ðòãýëýýñ õàñàãäñàí</t>
  </si>
  <si>
    <t>"Ãóðâàí ãîë" ÕÊ</t>
  </si>
  <si>
    <t>Ãåî."Ãóðâàí ãîë"íýãä</t>
  </si>
  <si>
    <t>1998.8.27</t>
  </si>
  <si>
    <t>13,525.3</t>
  </si>
  <si>
    <t>¯ÖÕ-íû 1998 îíû 09-ð ñàðûí 24-íèé 85   òîîò òîãòîîëîîð á¿ðòãýëýýñ õàñàãäñàí</t>
  </si>
  <si>
    <t>"Àâ õàéðõàí" ÕÊ</t>
  </si>
  <si>
    <t>ªâºðõàíãàé ÍÄ¯éëä</t>
  </si>
  <si>
    <t>1998.9.24</t>
  </si>
  <si>
    <t>11,813.0</t>
  </si>
  <si>
    <t>12,11,93</t>
  </si>
  <si>
    <t>¯ÖÕ-íû 1998 îíû 10-ð ñàðûí 01-íèé 93   òîîò òîãòîîëîîð á¿ðòãýëýýñ õàñàãäñàí</t>
  </si>
  <si>
    <t>"Ñýëýíãý-Ç¿¿íá¿ðýí"ÕÊ</t>
  </si>
  <si>
    <t>Áàÿíõàíãàé</t>
  </si>
  <si>
    <t>1998.10.01</t>
  </si>
  <si>
    <t>6,238.1</t>
  </si>
  <si>
    <t>2,15,92</t>
  </si>
  <si>
    <t>4,14,93</t>
  </si>
  <si>
    <t>¯ÖÕ-íû 1998 îíû 10-ð ñàðûí 01-íèé 94   òîîò òîãòîîëîîð á¿ðòãýëýýñ õàñàãäñàí</t>
  </si>
  <si>
    <t>"Êàéíàð" ÕÊ</t>
  </si>
  <si>
    <t>Áª ÓÀÀ-í áàð.óãñ.êîí</t>
  </si>
  <si>
    <t>AXU</t>
  </si>
  <si>
    <t>8,154.0</t>
  </si>
  <si>
    <t>¯ÖÕ-íû 1998 îíû 11-ð ñàðûí 19-íèé 105   òîîò òîãòîîëîîð á¿ðòãýëýýñ õàñàãäñàí</t>
  </si>
  <si>
    <t>"Öåìåíò"   ÕÊ</t>
  </si>
  <si>
    <t>Äàðõ.öåìåíò.çàâîä</t>
  </si>
  <si>
    <t>1998.11.19</t>
  </si>
  <si>
    <t>YD</t>
  </si>
  <si>
    <t>90,593.6</t>
  </si>
  <si>
    <t>3,12,92</t>
  </si>
  <si>
    <t>¯ÖÕ-íû 1999 îíû 3-ð ñàðûí 18-íèé 20   òîîò òîãòîîëîîð á¿ðòãýëýýñ õàñàãäñàí</t>
  </si>
  <si>
    <t>"Ãóðâàí áîðõóóä" ÕÊ</t>
  </si>
  <si>
    <t>"Ìàãñàðæàâ" ÑÀÀ</t>
  </si>
  <si>
    <t>1999.3.18</t>
  </si>
  <si>
    <t>8,836.0</t>
  </si>
  <si>
    <t>8,28,93</t>
  </si>
  <si>
    <t>9,20,93</t>
  </si>
  <si>
    <t>¯ÖÕ-íû 1999 îíû 4-ð ñàðûí 1-íèé 21   òîîò òîãòîîëîîð á¿ðòãýëýýñ õàñàãäñàí</t>
  </si>
  <si>
    <t>"Óðàí ãàí"   ÕÊ</t>
  </si>
  <si>
    <t>ÓÀÀ-í ò/ò ¿éëäâýðëýë</t>
  </si>
  <si>
    <t>1999.4.1</t>
  </si>
  <si>
    <t>9,654.3</t>
  </si>
  <si>
    <t>¯ÖÕ-íû 1999 îíû 4-ð ñàðûí 15-íèé 33   òîîò òîãòîîëîîð á¿ðòãýëýýñ õàñàãäñàí</t>
  </si>
  <si>
    <t>"Õóäàëäààíû òåõíèê"ÕÊ</t>
  </si>
  <si>
    <t>Õóäàëäààíû òåõíèê</t>
  </si>
  <si>
    <t>1999.4.15</t>
  </si>
  <si>
    <t>33,561.4</t>
  </si>
  <si>
    <t>12,23,94</t>
  </si>
  <si>
    <t>2,21,95</t>
  </si>
  <si>
    <t>¯ÖÕ-íû 1999 îíû 4-ð ñàðûí 22-íèé 35 òîîò òîãòîîëîîð á¿ðòãýëýýñ õàñàãäñàí</t>
  </si>
  <si>
    <t>"Ýõáàÿí-íóóð" ÕÊ</t>
  </si>
  <si>
    <t>Áóëãàí,Áàÿííóóð òàà</t>
  </si>
  <si>
    <t>1999.4.22</t>
  </si>
  <si>
    <t>5,968.6</t>
  </si>
  <si>
    <t>11,12,92</t>
  </si>
  <si>
    <t>¯ÖÕ-íû 1999 îíû 5-ð ñàðûí 06-íèé 36 òîîò òîãòîîëîîð á¿ðòãýëýýñ õàñàãäñàí</t>
  </si>
  <si>
    <t>"Õàíãàìæ õàí" ÕÊ</t>
  </si>
  <si>
    <t>Áª, ÌÒÕÓÃàçàð</t>
  </si>
  <si>
    <t>1999.5.6</t>
  </si>
  <si>
    <t xml:space="preserve"> </t>
  </si>
  <si>
    <t>12,10,91</t>
  </si>
  <si>
    <t>8,13,93</t>
  </si>
  <si>
    <t>¯ÖÕ-íû 1999 îíû 5-ð ñàðûí 20-íèé 41 òîîò òîãòîîëîîð á¿ðòãýëýýñ õàñàãäñàí</t>
  </si>
  <si>
    <t>"Àâòî òðàíñ" ÕÊ</t>
  </si>
  <si>
    <t>Áàÿí-ªëãèé, ÒÓÃàçàð</t>
  </si>
  <si>
    <t>1999.5.20</t>
  </si>
  <si>
    <t>ATT</t>
  </si>
  <si>
    <t>5,007.0</t>
  </si>
  <si>
    <t>5,14,93</t>
  </si>
  <si>
    <t>¯ÖÕ-íû 1999 îíû 7-ð ñàðûí 08-íû 55 òîîò òîãòîîëîîð á¿ðòãýëýýñ õàñàãäñàí</t>
  </si>
  <si>
    <t>"Õàíãàìæ-Èìïýêñ" ÕÊ</t>
  </si>
  <si>
    <t>ªâºðõ. ÌÒÕÓÃàçàð</t>
  </si>
  <si>
    <t>1999.7.8</t>
  </si>
  <si>
    <t>10,511.2</t>
  </si>
  <si>
    <t>¯ÖÕ-íû 1999 îíû 8-ð ñàðûí 04-íèé 63 òîîò òîãòîîëîîð á¿ðòãýëýýñ õàñàãäñàí</t>
  </si>
  <si>
    <t>"Ãàíäàí ñî¸î"ÕÊ</t>
  </si>
  <si>
    <t>ÓÁ Ãàõàéí çàâîä</t>
  </si>
  <si>
    <t>1999.8.4</t>
  </si>
  <si>
    <t>11,584.3</t>
  </si>
  <si>
    <t>¯ÖÕ-íû 1999 îíû 8-ð ñàðûí 04-íèé 64 òîîò òîãòîîëîîð á¿ðòãýëýýñ õàñàãäñàí</t>
  </si>
  <si>
    <t>"ªãººæ ÷èõýð áîîâ" ÕÊ</t>
  </si>
  <si>
    <t>ÓÁ ÷èõýð áîîâ ¿éëä</t>
  </si>
  <si>
    <t>7,538.5</t>
  </si>
  <si>
    <t>¯ÖÕ-íû 1999 îíû 9-ð ñàðûí 30-íû 77 òîîò òîãòîîëîîð á¿ðòãýëýýñ õàñàãäñàí</t>
  </si>
  <si>
    <t>"Ìîíïàê" ÕÊ</t>
  </si>
  <si>
    <t>Ñàâ áàãëàà áîîä.¿éëä</t>
  </si>
  <si>
    <t>199.9.30</t>
  </si>
  <si>
    <t>24,214.3</t>
  </si>
  <si>
    <t>3,25,93</t>
  </si>
  <si>
    <t>4,12,93</t>
  </si>
  <si>
    <t>"Ñ¿õáààòàð" ÕÊ</t>
  </si>
  <si>
    <t>Ä.Ñ¿õáààò.õýâë.¿éëä.</t>
  </si>
  <si>
    <t>1999.9.30</t>
  </si>
  <si>
    <t>15,980.6</t>
  </si>
  <si>
    <t>¯ÖÕ-íû 1999 îíû 9-ð ñàðûí 30-íû 76 òîîò òîãòîîëîîð á¿ðòãýëýýñ õàñàãäñàí</t>
  </si>
  <si>
    <t>"Çîð÷èã÷ òýýâ-í áààç"ÕÊ</t>
  </si>
  <si>
    <t>"Çîð÷.òýýâ.áààç"Ó¯Ã</t>
  </si>
  <si>
    <t>100,000.2</t>
  </si>
  <si>
    <t>¯ÖÕ-íû 1999 îíû 12-ð ñàðûí 24-íû 106 òîîò òîãòîîëîîð á¿ðòãýëýýñ õàñàãäñàí</t>
  </si>
  <si>
    <t>"Òàâàí-Ýðäýíý" ÕÊ</t>
  </si>
  <si>
    <t>ÀØÀØÁ¯éëäâýð</t>
  </si>
  <si>
    <t>1999.12.24</t>
  </si>
  <si>
    <t>56,123.6</t>
  </si>
  <si>
    <t>¯ÖÕ-íûé 1999 îíû 10-ð ñàðûí 30-íèé 79 òîîò òîãòîîëîîð á¿ðòãýëýýñ õàñàãäñàí</t>
  </si>
  <si>
    <t>Áàÿëàã</t>
  </si>
  <si>
    <t>1999.10.30</t>
  </si>
  <si>
    <t>¯ÖÕ-íû 2000 îíû 02-ð ñàðûí 10-íû 04 òîîò òîãòîîëîîð á¿ðòãýëýýñ õàñàãäñàí</t>
  </si>
  <si>
    <t>"Íºõºðëºë" ÕÊ</t>
  </si>
  <si>
    <t>Òºâ.Íºõºðëºë ÒÀÀ</t>
  </si>
  <si>
    <t>2000.2.10</t>
  </si>
  <si>
    <t>19,368.0</t>
  </si>
  <si>
    <t>¯ÖÕ-íû 2000 îíû 3-ð ñàðûí 23-íû 10 òîîò òîãòîîëîîð á¿ðòãýëýýñ õàñàãäñàí</t>
  </si>
  <si>
    <t>"Äîðíîä ãóðèë" ÕÊ</t>
  </si>
  <si>
    <t>Äîðíîä Ãóð. òýæ.¿éä</t>
  </si>
  <si>
    <t>2000.3.23</t>
  </si>
  <si>
    <t>20,738.4</t>
  </si>
  <si>
    <t>7,26,93</t>
  </si>
  <si>
    <t>¯ÖÕ-íû 2000 îíû 4-ð ñàðûí 13-íû 13 òîîò òîãòîîëîîð á¿ðòãýëýýñ õàñàãäñàí</t>
  </si>
  <si>
    <t>"Òýðýëæ " ÕÊ</t>
  </si>
  <si>
    <t>"Òýðýëæ" àìðàëò</t>
  </si>
  <si>
    <t>2000.4.13</t>
  </si>
  <si>
    <t>F</t>
  </si>
  <si>
    <t>10,763.0</t>
  </si>
  <si>
    <t>¯ÖÕ-íû 2000 îíû 4-ð ñàðûí 27-íû 17 òîîò òîãòîîëîîð á¿ðòãýëýýñ õàñàãäñàí</t>
  </si>
  <si>
    <t>"Äîðíîä òóëãà" ÕÊ</t>
  </si>
  <si>
    <t>Äîðíîä,ÌÒÕÓÃàçàð</t>
  </si>
  <si>
    <t>2000.4.27</t>
  </si>
  <si>
    <t>6,767.7</t>
  </si>
  <si>
    <t>3,27,93</t>
  </si>
  <si>
    <t>4,21,93</t>
  </si>
  <si>
    <t>¯ÖÕ-íû 2000 îíû 4-ð ñàðûí 27-íû 15 òîîò òîãòîîëîîð á¿ðòãýëýýñ õàñàãäñàí</t>
  </si>
  <si>
    <t>"Îëç íýìýõ" ÕÊ</t>
  </si>
  <si>
    <t>Îé ìîäíû àâòîáààç</t>
  </si>
  <si>
    <t>6,865.8</t>
  </si>
  <si>
    <t>¯ÖÕ-íû 2000 îíû 5-ð ñàðûí 31-íèé 24  òîîò òîãòîîëîîð á¿ðòãýëýýñ õàñàãäñàí</t>
  </si>
  <si>
    <t>"Ã¿íæèéí õèøèãò" ÕÊ</t>
  </si>
  <si>
    <t>ÓÁ Íîãîîíû êîìá</t>
  </si>
  <si>
    <t>2000.5.31</t>
  </si>
  <si>
    <t>13,124.4</t>
  </si>
  <si>
    <t>4,22,92</t>
  </si>
  <si>
    <t>11,30,92</t>
  </si>
  <si>
    <t>¯ÖÕ-íû 2000 îíû 7-ð ñàðûí 20-íû 29  òîîò òîãòîîëîîð á¿ðòãýëýýñ õàñàãäñàí</t>
  </si>
  <si>
    <t>"Áàÿíõîøóó" ÕÊ</t>
  </si>
  <si>
    <t>Õºâñã.Òàðèàëàí ÑÀÀ</t>
  </si>
  <si>
    <t>2000.7.20</t>
  </si>
  <si>
    <t>BHU</t>
  </si>
  <si>
    <t>6,141.9</t>
  </si>
  <si>
    <t>3,2,94</t>
  </si>
  <si>
    <t>¯ÖÕ-íû 1999 îíû 8-ð ñàðûí 04-íû 62  òîîò òîãòîîëîîð á¿ðòãýëýýñ õàñàãäñàí</t>
  </si>
  <si>
    <t>"Ìàõ" ÕÊ</t>
  </si>
  <si>
    <t>Óëèàñòàéí Ìàõêîìá</t>
  </si>
  <si>
    <t>MAH</t>
  </si>
  <si>
    <t>22,883.8</t>
  </si>
  <si>
    <t>11,27,91</t>
  </si>
  <si>
    <t>7,16,93</t>
  </si>
  <si>
    <t>¯ÖÕ-íû 2000 îíû 5-ð ñàðûí 31-íèé  22  òîîò òîãòîîëîîð á¿ðòãýëýýñ õàñàãäñàí</t>
  </si>
  <si>
    <t>"Äýâøèë òðåéä" ÕÊ</t>
  </si>
  <si>
    <t>Äýâøèë ÑÀÀ</t>
  </si>
  <si>
    <t>DVJ</t>
  </si>
  <si>
    <t>8,044.5</t>
  </si>
  <si>
    <t>5,11,92</t>
  </si>
  <si>
    <t>¯ÖÕ-íû 1999 îíû 12-ð ñàðûí 09-íèé  100  òîîò òîãòîîëîîð á¿ðòãýëýýñ õàñàãäñàí</t>
  </si>
  <si>
    <t>"Áóãàíò" ÕÊ</t>
  </si>
  <si>
    <t>Áóãàíò. îé ìîä.¿éë</t>
  </si>
  <si>
    <t>1999.12.9</t>
  </si>
  <si>
    <t>BGN</t>
  </si>
  <si>
    <t>¯ÖÕ-íû 2000 îíû 8-ð ñàðûí 17-íû  31  òîîò òîãòîîëîîð á¿ðòãýëýýñ õàñàãäñàí</t>
  </si>
  <si>
    <t>"Óñ îð÷èí" ÕÊ</t>
  </si>
  <si>
    <t>ÓÁ óñíû à/à êîíòîð</t>
  </si>
  <si>
    <t>2000.8.17</t>
  </si>
  <si>
    <t>USU</t>
  </si>
  <si>
    <t>¯ÖÕ-íû 2000 îíû 12-ð ñàðûí 20-íû  43  òîîò òîãòîîëîîð á¿ðòãýëýýñ õàñàãäñàí</t>
  </si>
  <si>
    <t>"Ìîíãîë øààçàí" ÕÊ</t>
  </si>
  <si>
    <t>Øààçàíãèéí ¿éëäâýð</t>
  </si>
  <si>
    <t>2000.12.20</t>
  </si>
  <si>
    <t>¯ÖÕ-íû 2001 îíû 01-ð ñàðûí 12-íû  01  òîîò òîãòîîëîîð á¿ðòãýëýýñ õàñàãäñàí</t>
  </si>
  <si>
    <t>"Õààí òàìãà"ÕÊ</t>
  </si>
  <si>
    <t>Õàðõîðèíãèéí ÑÀÀ</t>
  </si>
  <si>
    <t>2001.1.12</t>
  </si>
  <si>
    <t>OTG</t>
  </si>
  <si>
    <t>2,11,93</t>
  </si>
  <si>
    <t>¯ÖÕ-íû 2001 îíû 03-ð ñàðûí 01-íèé  06  òîîò òîãòîîëîîð á¿ðòãýëýýñ õàñàãäñàí</t>
  </si>
  <si>
    <t>"Çàãäàë" ÕÊ</t>
  </si>
  <si>
    <t>Æàðãàëàíò ÑÀÀ</t>
  </si>
  <si>
    <t>2001.3.1</t>
  </si>
  <si>
    <t>ZAG</t>
  </si>
  <si>
    <t>¯ÖÕ-íû 2001 îíû 03-ð ñàðûí 23-íû  10  òîîò òîãòîîëîîð á¿ðòãýëýýñ õàñàãäñàí</t>
  </si>
  <si>
    <t>"Õºâñãºë õóäàëäàà" ÕÊ</t>
  </si>
  <si>
    <t>Ìºðºí.ÁÕÁ</t>
  </si>
  <si>
    <t>2001.3.23</t>
  </si>
  <si>
    <t>HAA</t>
  </si>
  <si>
    <t>¯ÖÕ-íû 2001 îíû 4-ð ñàðûí 13-íû  18  òîîò òîãòîîëîîð á¿ðòãýëýýñ õàñàãäñàí</t>
  </si>
  <si>
    <t>"Ñýëýí.Íàéðàìäàë"ÕÊ</t>
  </si>
  <si>
    <t>Íàéðàìäàë ÑÀÀ</t>
  </si>
  <si>
    <t>2001.4.13</t>
  </si>
  <si>
    <t>NAI</t>
  </si>
  <si>
    <t>3,28,94</t>
  </si>
  <si>
    <t>¯ÖÕ-íû 2001 îíû 4-ð ñàðûí 13-íû  21  òîîò òîãòîîëîîð á¿ðòãýëýýñ õàñàãäñàí</t>
  </si>
  <si>
    <t>"Ãîâüãåî" ÕÊ</t>
  </si>
  <si>
    <t>Ãåîë." Ãîâü" íýãäýë</t>
  </si>
  <si>
    <t>GGV</t>
  </si>
  <si>
    <t>6,17,92</t>
  </si>
  <si>
    <t>¯ÖÕ-íû 2001 îíû 4-ð ñàðûí 13-íû  16  òîîò òîãòîîëîîð á¿ðòãýëýýñ õàñàãäñàí</t>
  </si>
  <si>
    <t>"Íàá Ñàí" ÕÊ</t>
  </si>
  <si>
    <t>Íèéãýì àõóéí áàðèëãà òðåñòèéí õàðüÿà "Áýõæèëò ï¿¿ñ"</t>
  </si>
  <si>
    <t>SAN</t>
  </si>
  <si>
    <t>¯ÖÕ-íû 2001 îíû 4-ð ñàðûí 13-íû  15  òîîò òîãòîîëîîð á¿ðòãýëýýñ õàñàãäñàí</t>
  </si>
  <si>
    <t>"Áàÿí-Óñ"ÕÊ</t>
  </si>
  <si>
    <t>BAB</t>
  </si>
  <si>
    <t>5,27,92</t>
  </si>
  <si>
    <t>¯ÖÕ-íû 2001 îíû 6-ð ñàðûí 22-íû 33  òîîò òîãòîîëîîð á¿ðòãýëýýñ õàñàãäñàí</t>
  </si>
  <si>
    <t>"Ýðäýíýò Îðä" ÕÊ</t>
  </si>
  <si>
    <t>ÎÐÄ ï¿¿ñ</t>
  </si>
  <si>
    <t>2001.6.22</t>
  </si>
  <si>
    <t>3,5,93</t>
  </si>
  <si>
    <t>¯ÖÕ-íû 2001 îíû 6-ð ñàðûí 22-íû 32 òîîò òîãòîîëîîð á¿ðòãýëýýñ õàñàãäñàí</t>
  </si>
  <si>
    <t>"Ìîíãîë òýýõ" ÕÊ</t>
  </si>
  <si>
    <t>Àâòîòýýâýð 1-ð áààç</t>
  </si>
  <si>
    <t>MTH</t>
  </si>
  <si>
    <t>¯ÖÕ-íû 2001 îíû 5-ð ñàðûí 25-íû 25 òîîò òîãòîîëîîð á¿ðòãýëýýñ õàñàãäñàí</t>
  </si>
  <si>
    <t>"Õàí á¿ðýí" ÕÊ</t>
  </si>
  <si>
    <t>Áóðãàëòàé ÑÀÀ /Ç¿¿í õºâ÷/</t>
  </si>
  <si>
    <t>2001.5.25</t>
  </si>
  <si>
    <t>HNB</t>
  </si>
  <si>
    <t>5,12,94</t>
  </si>
  <si>
    <t>¯ÖÕ-íû 2002 îíû 5-ð ñàðûí 17-íû 27 òîîò òîãòîîëîîð 2002 îíû 5-ð ñàðûí 21-íèé ºäºð ÌÕÁ-ýýñ õàñàãäñàí.</t>
  </si>
  <si>
    <t>"Ìîäòðåéä" ÕÊ</t>
  </si>
  <si>
    <t>ÓÁ ìîä áîëîâñðóóëàõ</t>
  </si>
  <si>
    <t>2002.5.17</t>
  </si>
  <si>
    <t>MOD</t>
  </si>
  <si>
    <t>4,14,91</t>
  </si>
  <si>
    <t>¯ÖÕ-íû 2002 îíû 4-ð ñàðûí 02-íû 06 òîîò òîãòîîëîîð 2002 îíû 5-ð ñàðûí 27-íû ºäºð ÌÕÁ-ýýñ</t>
  </si>
  <si>
    <t>"Õ¿ðýíáóëàã" ÕÊ</t>
  </si>
  <si>
    <t>Ýðäýíýò Õóäàëä. òºâ</t>
  </si>
  <si>
    <t>2002.4.2</t>
  </si>
  <si>
    <t>HUB</t>
  </si>
  <si>
    <t>9,3,92</t>
  </si>
  <si>
    <t>¯ÖÕ-íû 2002 îíû 6-ð ñàðûí 06-íû 31 òîîò òîãòîîëîîð 2002 îíû 6-ð ñàðûí 10-íû ºäºð ÌÕÁ-ýýñ</t>
  </si>
  <si>
    <t>"Êûçûëòàó" ÕÊ</t>
  </si>
  <si>
    <t>Óëààí-Óóë Õàéã ¿éëä</t>
  </si>
  <si>
    <t>2002.6.6</t>
  </si>
  <si>
    <t>KTU</t>
  </si>
  <si>
    <t>8,9,93</t>
  </si>
  <si>
    <t>"Áàðìàø" ÕÊ</t>
  </si>
  <si>
    <t>Áàðèëã.ìàø.ìåõ.ç.ç</t>
  </si>
  <si>
    <t>BAR</t>
  </si>
  <si>
    <t>9,18,92</t>
  </si>
  <si>
    <t>äàõèí íýìæ ãàðãàñàí</t>
  </si>
  <si>
    <t>"Öàéç"ÕÊ</t>
  </si>
  <si>
    <t>ÕÀÀ-í ò¿¿õèé ýä áîðëóóëàõ</t>
  </si>
  <si>
    <t>TSZ</t>
  </si>
  <si>
    <t>2002,08,05-íä á¿ðòãýâ.</t>
  </si>
  <si>
    <t>2002,08,27-íä òºð íü çàðàãäñàí.</t>
  </si>
  <si>
    <t>¯ÖÕ-íû 2002 îíû 4-ð ñàðûí 02-íû ºäðèéí 07 òîîò òîãòîîëîîð 2002 îíû 12 äóãààð ñàðûí 03-íû ºäºð ÌÕÁ-ýýñ</t>
  </si>
  <si>
    <t>"Õ¿íñ òýýâýð" ÕÊ</t>
  </si>
  <si>
    <t>Õ¿íñ òýýâýð. àâòîáààç</t>
  </si>
  <si>
    <t>HTY</t>
  </si>
  <si>
    <t>8,3,92</t>
  </si>
  <si>
    <t>¯ÖÕ-íû 2002 îíû 7-ð ñàðûí 16-íû ºäðèéí 38 òîîò òîãòîîëîîð 2003 îíû 3-ð ñàðûí 28-íä ÌÕÁ-ýýñ</t>
  </si>
  <si>
    <t>"Ýðäýíýò-Ñýëýíãý" ÕÊ</t>
  </si>
  <si>
    <t>Ýðä. Çî÷èä áóóä. Ðåñòîðàí</t>
  </si>
  <si>
    <t>2002.7.16</t>
  </si>
  <si>
    <t>E-S</t>
  </si>
  <si>
    <t>¯ÖÕ-íû 2003 îíû 4-ð ñàðûí 25-íû ºäðèéí 27 òîîò òîãòîîëîîð 2003 îíû 5-ð ñàðûí 15-íä ÌÕÁ-ýýñ</t>
  </si>
  <si>
    <t>"Õàñ ò¿ëõ¿¿ð" ÕÊ</t>
  </si>
  <si>
    <t>Õîâä áàð.óãñð.òðåñò</t>
  </si>
  <si>
    <t>2003.4.25</t>
  </si>
  <si>
    <t>ILH</t>
  </si>
  <si>
    <t>¯ÖÕ-íû 2002 îíû 7-ð ñàðûí 16-íû 35 òîîò òîãòîîëîîð 2003 îíû 5-ð ñàðûí 14-íä ÌÕÁ-ýýñ</t>
  </si>
  <si>
    <t>"ÓÁ èìïåêñ"ÕÊ</t>
  </si>
  <si>
    <t>"ÓÁ èìïåêñ" Ó¯Ã</t>
  </si>
  <si>
    <t>UBI</t>
  </si>
  <si>
    <t>9,18,98</t>
  </si>
  <si>
    <t>2 õ¿í ýçýìøäýã.</t>
  </si>
  <si>
    <t>¯ÖÕ-íû 2003 îíû 4-ð ñàðûí 25-íû ºäðèéí 32 òîîò òîãòîîëîîð 2003 îíû 5-ð ñàðûí 15-íä ÌÕÁ-ýýñ</t>
  </si>
  <si>
    <t>"Ãîâü.ãóð.ñàéõàí" ÕÊ</t>
  </si>
  <si>
    <t>ªìí.Ãîâü ãóðâ.ñàéõ.</t>
  </si>
  <si>
    <t>GGS</t>
  </si>
  <si>
    <t>¯ÖÕ-íû 2003 îíû 4-ð ñàðûí 25-íû ºäðèéí 31 òîîò òîãòîîëîîð 2003 îíû 5-ð ñàðûí 15-íä ÌÕÁ-ýýñ</t>
  </si>
  <si>
    <t>"Îðõîí öîîëáîð" ÕÊ</t>
  </si>
  <si>
    <t>×óë.îëçâ.áîëîâñ.¿éëäâýð</t>
  </si>
  <si>
    <t>CUL</t>
  </si>
  <si>
    <t>7,27,92</t>
  </si>
  <si>
    <t>20020409-</t>
  </si>
  <si>
    <t>¯ÖÕ-íû 2003 îíû 5-ð ñàðûí 23-íû ºäðèéí 41 òîîò òîãòîîëîîð 2003 îíû 6-ð ñàðûí 17-íä ÌÕÁ-ýýñ</t>
  </si>
  <si>
    <t>"Íîîñ íýõìýë" ÕÊ</t>
  </si>
  <si>
    <t>Áª, Íîîñ óã.¿éëäâýð</t>
  </si>
  <si>
    <t>2003.5.23</t>
  </si>
  <si>
    <t>NNE</t>
  </si>
  <si>
    <t>¯ÖÕ-íû 2003 îíû 8-ð ñàðûí 06-íû 54 òîîò òîãòîîëîîð 2003 îíû 9-ð ñàðûí 04-íä ÌÕÁ-ýýñ</t>
  </si>
  <si>
    <t xml:space="preserve">"Äóíäã.Åñºí ýðäýíý" </t>
  </si>
  <si>
    <t>Äóíäãîâèéí ÌÒÕÓÃ</t>
  </si>
  <si>
    <t>2003.8.6</t>
  </si>
  <si>
    <t>ESE</t>
  </si>
  <si>
    <t>6,30,92</t>
  </si>
  <si>
    <t>¯ÖÕ-íû 2003 îíû 8-ð ñàðûí 06-íû ºäðèéí 55 òîîò òîãòîîëîîð 2003 îíû 9-ð ñàðûí 09-íä ÌÕÁ-ýýñ</t>
  </si>
  <si>
    <t>"Áàéäðàã" ÕÊ</t>
  </si>
  <si>
    <t>Áàÿíõîíãîð ÑÀÀ</t>
  </si>
  <si>
    <t>BDG</t>
  </si>
  <si>
    <t>9,20,94</t>
  </si>
  <si>
    <t>Îðîí íóòãèéí òºëººëºã÷ Èäýðìºíõ 22114</t>
  </si>
  <si>
    <t>¯ÖÕ-íû 2003 îíû 9-ð ñàðûí 18-íû ºäðèéí 62 òîîò òîãòîîëîîð 2003 îíû 10-ð ñàðûí 10-íä ÌÕÁ-ýýñ</t>
  </si>
  <si>
    <t>"Ñàóëåò" ÕÊ</t>
  </si>
  <si>
    <t>Áª, Áàðèëãà òðåñò</t>
  </si>
  <si>
    <t>2003.9.18</t>
  </si>
  <si>
    <t>SAU</t>
  </si>
  <si>
    <t>3,13,93</t>
  </si>
  <si>
    <t>¯ÖÕ-íû 2003 îíû 9-ð ñàðûí 18-íû ºäðèéí 61 òîîò òîãòîîëîîð 2003 îíû 10-ð ñàðûí 10-íä ÌÕÁ-ýýñ</t>
  </si>
  <si>
    <t>"Õîâäûí Òóëãà"ÕÊ</t>
  </si>
  <si>
    <t>Õîâä.Áàð.ìàò.¿éë.íýãäýë</t>
  </si>
  <si>
    <t>TLC</t>
  </si>
  <si>
    <t>¯ÖÕ-íû 2003 îíû 2003 îíû 1-ð ñàðûí 17-íû ºäðèéí 02 òîîò òîãòîîëîîð 2003 îíû 10-ð ñàðûí 10-íä ÌÕÁ-ýýñ</t>
  </si>
  <si>
    <t>"Òàéøèðõàí" ÕÊ</t>
  </si>
  <si>
    <t>ÃÀ.ÌÒÕÓÃ,ÁÁÁààç</t>
  </si>
  <si>
    <t>2003.1.17</t>
  </si>
  <si>
    <t>GA</t>
  </si>
  <si>
    <t>HTR</t>
  </si>
  <si>
    <t>ÃÎ</t>
  </si>
  <si>
    <t>3,22,93</t>
  </si>
  <si>
    <t>¯ÖÕ-íû 2003 îíû 10-ð ñàðûí 31-íèé 78 òîîò òîãòîîëîîð 2003 îíû 11-ð ñàðûí 10-íä ÌÕÁ-ýýñ</t>
  </si>
  <si>
    <t>"Òóëãà Çóóíìîä" ÕÊ</t>
  </si>
  <si>
    <t>Òºâ.Áººíèé áàð. áààç</t>
  </si>
  <si>
    <t>2003.10.31</t>
  </si>
  <si>
    <t>TZM</t>
  </si>
  <si>
    <t>3,22,92</t>
  </si>
  <si>
    <t>¯ÖÕ-íû 2003 îíû 10-ð ñàðûí 31-íèé 82 òîîò òîãòîîëîîð 2003 îíû 11-ð ñàðûí 13-íä ÌÕÁ-ýýñ</t>
  </si>
  <si>
    <t>"Õ¿íñ òðåéä"ÕÊ</t>
  </si>
  <si>
    <t>Áººíèé õóäàëäàà</t>
  </si>
  <si>
    <t>HTD</t>
  </si>
  <si>
    <t>¯ÖÕ-íû 2003,02,06-4 òîîò òîãòîîëîîð 2003,02,11-íä ÌÕÁ-ýýñ</t>
  </si>
  <si>
    <t>"Ãàí"ÕÊ</t>
  </si>
  <si>
    <t>Òîíîã òºõººðºìæèéí çàñâàð, ¿éë÷èëãýý</t>
  </si>
  <si>
    <t>2003.2.11</t>
  </si>
  <si>
    <t>GAN</t>
  </si>
  <si>
    <t>2004,01,22-íä á¿ðòãýæ Òª ìºí øèëæ¿¿ëýâ,</t>
  </si>
  <si>
    <t>¯ÖÕ-íû 2004,03,18-íû 14 òîîò òîãòîîëîîð 2004,03,22-íä ÌÕÁ-ýýñ</t>
  </si>
  <si>
    <t>"Ìîíìåáåëü" ÕÊ</t>
  </si>
  <si>
    <t>"Ìîíðîìåáåëü" ÕÊ</t>
  </si>
  <si>
    <t>2004.3.22</t>
  </si>
  <si>
    <t>MRM</t>
  </si>
  <si>
    <t>ÕÕÊ áîëíî,</t>
  </si>
  <si>
    <t>¯ÖÕ-íû 2004,04,23-íû 22 òîîò òîãòîîëîîð 2004,05,20-íä ÌÕÁ-ýýñ</t>
  </si>
  <si>
    <t>"Àëàòàó"ÕÊ</t>
  </si>
  <si>
    <t>Áóãàòûí ÒÀÀ</t>
  </si>
  <si>
    <t>2004.5.20</t>
  </si>
  <si>
    <t>LAT</t>
  </si>
  <si>
    <t>¯ÖÕ-íû 2004,04,23-íû 19 òîîò òîãòîîëîîð 2004,05,20-íä ÌÕÁ-ýýñ</t>
  </si>
  <si>
    <t>"ÝÒÝÒ"ÕÊ</t>
  </si>
  <si>
    <t>ÁÌ¯Ä àâòîáààç</t>
  </si>
  <si>
    <t>TVR</t>
  </si>
  <si>
    <t>4,23,92</t>
  </si>
  <si>
    <t>2002,10,03-íä êîìïàíè õóâààãäñàí òóë õàñàëò õèéâ,</t>
  </si>
  <si>
    <t>¯ÖÕ-íû 2004,06,04-íû 24 òîîò òîãòîîëîîð 2004,06,08-íä ÌÕÁ-ýýñ</t>
  </si>
  <si>
    <t>"Áåòîí-àðìàòóð"ÕÊ</t>
  </si>
  <si>
    <t>ÓÁ òºìºð áåòîí çàâîä</t>
  </si>
  <si>
    <t>2004.6.8</t>
  </si>
  <si>
    <t>BET</t>
  </si>
  <si>
    <t>6,3,92</t>
  </si>
  <si>
    <t>¯ÖÕ-íû 2004.07.08-íû 30 òîîò òîãòîîëîîð 2004.07.23-íä ÌÕÁ-ýýñ</t>
  </si>
  <si>
    <t>"Õàí õºâ÷" ÕÊ</t>
  </si>
  <si>
    <t>Òîñîíö. Îé ìîä.êîìáèíàò</t>
  </si>
  <si>
    <t>2004.7.23</t>
  </si>
  <si>
    <t>HHV</t>
  </si>
  <si>
    <t>YÖÕ-íû 2004.09.22-íû 40 òîîò òîãòîîëîîð 2004.10.07-íä ÌÕÁ-ýýñ</t>
  </si>
  <si>
    <t>"ªðíºëò èðýýä¿é" ÕÊ</t>
  </si>
  <si>
    <t>Óãñàðìàë áàðèëãà ¿éëäâýðëýëèéí íýãäëèéí õàðüÿà ºðíºëò ï¿¿ñ</t>
  </si>
  <si>
    <t>2004.10.7</t>
  </si>
  <si>
    <t>URN</t>
  </si>
  <si>
    <t>YÖÕ-íû 2004.10.29-íèé 47 òîîò òîãòîîëîîð 2004.11.01-íä ÌÕÁ-ýýñ</t>
  </si>
  <si>
    <t>"Äîðíîä áàðèëãà" ÕÊ</t>
  </si>
  <si>
    <t>Äîðíîä Áàð.óãñð.òðåñò</t>
  </si>
  <si>
    <t>2004.11.01</t>
  </si>
  <si>
    <t>DBR</t>
  </si>
  <si>
    <t>YÖÕ-íû 2004.10.29-íèé 46 òîîò òîãòîîëîîð 2004.11.02-íä ÌÕÁ-ýýñ</t>
  </si>
  <si>
    <t>"Îé ìîä " ÕÊ</t>
  </si>
  <si>
    <t>"Îé ìîä" íýãòãýë</t>
  </si>
  <si>
    <t>2004.11.02</t>
  </si>
  <si>
    <t>OIN</t>
  </si>
  <si>
    <t>8,15,92</t>
  </si>
  <si>
    <t>YÖÕ-íû 2004.08.16-íû 36 òîîò òîãòîîëîîð 2004.11.02-íä ÌÕÁ-ýýñ</t>
  </si>
  <si>
    <t>"Ìîíàãðî" ÕÊ</t>
  </si>
  <si>
    <t>ÌÕÀÀÀ¯Õ, Ìîíàãðî</t>
  </si>
  <si>
    <t>MAG</t>
  </si>
  <si>
    <t>6,12,92</t>
  </si>
  <si>
    <t>¯ÖÕ-íû 2004.08.13-íû 35 òîîò òîãòîîëîîð 2004.12.02-íä ÌÕÁ-ýýñ</t>
  </si>
  <si>
    <t>"Ãóóðñò õ¿ëýã" ÕÊ</t>
  </si>
  <si>
    <t>Àðõ. òýýâýð 4-ð áààç</t>
  </si>
  <si>
    <t>2004.12.02</t>
  </si>
  <si>
    <t>ERB</t>
  </si>
  <si>
    <t>6,27,92</t>
  </si>
  <si>
    <t>¯ÖÕ-íû 2004.12.23-íû 55 òîîò òîãòîîëîîð 2004.12.27-íä ÌÕÁ-ýýñ</t>
  </si>
  <si>
    <t>"Æóóë÷èí" ÕÊ</t>
  </si>
  <si>
    <t>"Æóóë÷èí " íýãòãýë</t>
  </si>
  <si>
    <t>2004.12.27</t>
  </si>
  <si>
    <t>JLN</t>
  </si>
  <si>
    <t>4,8,92</t>
  </si>
  <si>
    <t>¯ÖÕ-íû 2005.03.03-íû 4 òîîò òîãòîîëîîð 2005.03.07-íä ÌÕÁ-ýýñ</t>
  </si>
  <si>
    <t>"Öàãààí-Ýðäýíý" ÕÊ</t>
  </si>
  <si>
    <t>Öàãààí-Ýðäýíý êîìïàíè</t>
  </si>
  <si>
    <t>2005.03.07</t>
  </si>
  <si>
    <t>CAG</t>
  </si>
  <si>
    <t>4,19,93</t>
  </si>
  <si>
    <t>¯ÖÕ-íû 2005.03.03-íû 7 òîîò òîãòîîëîîð 2005.03.07-íä ÌÕÁ-ýýñ</t>
  </si>
  <si>
    <t>"ªíãºò õýâëýë" ÕÊ</t>
  </si>
  <si>
    <t>Ñîëîíãî õýâëýõ ¿éëäâýð</t>
  </si>
  <si>
    <t>ONL</t>
  </si>
  <si>
    <t>9,7,92</t>
  </si>
  <si>
    <t>¯ÖÕ-íû 2005.04.28-íû 16 òîîò òîãòîîëûí äàãóó 2005.05.02-íä ÌÕÁ-ýýñ</t>
  </si>
  <si>
    <t>"ßíçàãàòàé" ÕÊ</t>
  </si>
  <si>
    <t>Ò¿ìýíöîãòûí ÑÀÀ</t>
  </si>
  <si>
    <t>2005.05.02</t>
  </si>
  <si>
    <t>TCT</t>
  </si>
  <si>
    <t>2001,12,12</t>
  </si>
  <si>
    <t>¯ÖÕ-íû 2005.04.28-íû 21 òîîò òîãòîîëûí äàãóó 2005.05.02-íä ÌÕÁ-ýýñ</t>
  </si>
  <si>
    <t>"Áàÿíäóëààí óóë" ÕÊ</t>
  </si>
  <si>
    <t>BDU</t>
  </si>
  <si>
    <t>¯ÖÕ-íû 2005.05.02-íû 15 òîîò òîãòîîëûí äàãóó 2005.06.10-íä ÌÕÁ-ýýñ</t>
  </si>
  <si>
    <t>"Çîñò ºðãºº" ÕÊ</t>
  </si>
  <si>
    <t>Çàâõàí. ÁÓÊîíòîð</t>
  </si>
  <si>
    <t>2005.06.10</t>
  </si>
  <si>
    <t>á¿ðòãýëýýñ õàñàõ</t>
  </si>
  <si>
    <t>¯ÖÕ-íû 2005.08.31-íèé 46 òîîò òîãòîîëîîð 2005.09.02-íä ÌÕÁ-ýýñ</t>
  </si>
  <si>
    <t>"Àäàð" ÕÊ</t>
  </si>
  <si>
    <t>Àðõ.Òºìºð áåò.¿éëäâýð</t>
  </si>
  <si>
    <t>2005.09.02</t>
  </si>
  <si>
    <t>ADR</t>
  </si>
  <si>
    <t>6,24,93</t>
  </si>
  <si>
    <t>¯ÖÕ-íû 2005.08.31-íèé 45 òîîò òîãòîîëîîð 2006.01.04-íä ÌÕÁ-ýýñ</t>
  </si>
  <si>
    <t>"Òóëãà-àëòàé" ÕÊ</t>
  </si>
  <si>
    <t>ÃîâüÀëòàé.Õ¿íñ.¿éëäâýð</t>
  </si>
  <si>
    <t>2006.01.14</t>
  </si>
  <si>
    <t>TUA</t>
  </si>
  <si>
    <t>çºð¿¿òýé /6ø/</t>
  </si>
  <si>
    <t>2005¯ÖÕ-íû òîãòîîë ãàðñàí</t>
  </si>
  <si>
    <t>¯ÖÕ-íû 2006.01.11-íèé 04 òîîò òîãòîîëîîð 2006.01.17-íä ÌÕÁ-ýýñ</t>
  </si>
  <si>
    <t>"Àâòîæèí÷èí" ÕÊ</t>
  </si>
  <si>
    <t>12-ð àâòîáààç</t>
  </si>
  <si>
    <t>2006.01.17</t>
  </si>
  <si>
    <t>AAH</t>
  </si>
  <si>
    <t>¯ÖÕ-íû 2006.01.11-íèé 03 òîîò òîãòîîëîîð 2006.01.17-íä ÌÕÁ-ýýñ</t>
  </si>
  <si>
    <t>"Äîðíîäãåî" ÕÊ</t>
  </si>
  <si>
    <t>Ãåîë."Äîðíîä"íýãäýë</t>
  </si>
  <si>
    <t>HAS</t>
  </si>
  <si>
    <t>ÑÇÕ-íû 2006.05.03-íèé 11 òîîò òîãòîîëîîð 2006.05.23-íä ÌÕÁ-ýýñ</t>
  </si>
  <si>
    <t>"Íàëàéõ òýýâýð" ÕÊ</t>
  </si>
  <si>
    <t>14-ð àâòîáààç</t>
  </si>
  <si>
    <t>2006.05.23</t>
  </si>
  <si>
    <t>NLH</t>
  </si>
  <si>
    <t>Á¿ðòãýëýýñ á¿ðýí õàñãäàâ./Òàòàí áóóãäñàí/</t>
  </si>
  <si>
    <t>ÑÇÕ-íû 2006.05.03-íèé 10 òîîò òîãòîîëîîð 2006.06.05-íä ÌÕÁ-ýýñ</t>
  </si>
  <si>
    <t>"Øàðãàëæóóò ðàøààí ñóâèëàë"ÕÊ</t>
  </si>
  <si>
    <t>Ýì÷èëãýý, ñóâèëãàà õèéõ</t>
  </si>
  <si>
    <t>2006.06.05</t>
  </si>
  <si>
    <t>SHR</t>
  </si>
  <si>
    <t>2004.06.19-íä á¿ðòãýâ.</t>
  </si>
  <si>
    <t>2005.03.28-íä ªäðèéí ñîíèíä òºðèéí ìýäëèéí õóâüöààã ÒªÕÊ-èéí óðàëäààíò øàëãàðóóëàëòûí àðãààð õóâü÷ëàõ æóðàì"-ûí äàãóó ÿâóóëíà.</t>
  </si>
  <si>
    <t>¯íýò öààñíû õîðîîíû 2004.03.18-íû 16 òîîò òîãòîîëîîð 2006.07.21-íä ÌÕÁ-ýýñ</t>
  </si>
  <si>
    <t>"Ýìèéí ¿éëäâýð"ÕÊ</t>
  </si>
  <si>
    <t>Ýì, ýìèéí ìàòåðèàë ¿éëäâýðëýë</t>
  </si>
  <si>
    <t>2006.07.21</t>
  </si>
  <si>
    <t>EMU</t>
  </si>
  <si>
    <t>2002,07,26-íä á¿ðòãýâ.</t>
  </si>
  <si>
    <t>ÑÇÕ-íû 2006.11.13-íèé 58 òîîò òîãòîîëîîð 2006.11.30-íä ÌÕÁ-ýýñ</t>
  </si>
  <si>
    <t>"ÕÈÄ" ÕÊ</t>
  </si>
  <si>
    <t>"ÕÈÄ-1"</t>
  </si>
  <si>
    <t>2006.11.30</t>
  </si>
  <si>
    <t>HID</t>
  </si>
  <si>
    <t>6,18,93</t>
  </si>
  <si>
    <t>Õýëöýë õ¿÷èíã¿é áîëñîí</t>
  </si>
  <si>
    <t>ÑÇÕ-íû 2006.10.26-íèé 46 òîîò òîãòîîëîîð 2006.12.08-íä ÌÕÁ-ýýñ</t>
  </si>
  <si>
    <t>"Òýâøèéí ãîâü"ÕÊ</t>
  </si>
  <si>
    <t>Òýâø.ãîâü,í¿¿ðñ.óóðõ</t>
  </si>
  <si>
    <t>2006.12.08</t>
  </si>
  <si>
    <t>TVG</t>
  </si>
  <si>
    <t>2005ÕÕÊ</t>
  </si>
  <si>
    <t>2005.03.03-6òîîò òîãòîîëûí äàãóó õóâüöààíä õàñàëò õèéâ.</t>
  </si>
  <si>
    <t>ÑÇÕ-íû 2006.11.13-íû 53 òîîò òîãòîîëîîð 2007.01.05-íä ÌÕÁ-ýýñ</t>
  </si>
  <si>
    <t>"Àðöàò ìîãîé" ÕÊ</t>
  </si>
  <si>
    <t>Áàðèëãûí òðåñò</t>
  </si>
  <si>
    <t>2007.01.05</t>
  </si>
  <si>
    <t>BUO</t>
  </si>
  <si>
    <t>5,13,94</t>
  </si>
  <si>
    <t>¯íýò öààñíû õîðîîíû 2004.12.23-íû 51 òîîò òîãòîîëîîð 2007.01.26-íä ÌÕÁ-ýýñ</t>
  </si>
  <si>
    <t>"Òýýâýð÷èí-7" ÕÊ</t>
  </si>
  <si>
    <t>Àâòîòýýâýð 7-ð áààç</t>
  </si>
  <si>
    <t>2007.01.26</t>
  </si>
  <si>
    <t>TED</t>
  </si>
  <si>
    <t>ÕÕÊ áîëîõ øèéäâýð ãàðñàí áàéíà.</t>
  </si>
  <si>
    <t>ÑÇÕ-íû 2007.02.02-íû 14 òîîò òîãòîîëîîð 2007.02.27-íä ÌÕÁ-ýýñ</t>
  </si>
  <si>
    <t>"ÓÁ áàðèëãà" ÕÊ</t>
  </si>
  <si>
    <t>ÓÁ, áàðèëãà òðåñò</t>
  </si>
  <si>
    <t>2007.02.27</t>
  </si>
  <si>
    <t>UBT</t>
  </si>
  <si>
    <t>10,2,92</t>
  </si>
  <si>
    <t>ÑÇÕ-íû 2007.01.19-íû 02 òîîò òîãòîîëîîð 2007.03.06-íä ÌÕÁ-ýýñ</t>
  </si>
  <si>
    <t>"Òóóë êàøåìèð" ÕÊ</t>
  </si>
  <si>
    <t>ÕÖÓ " Òóóë" êîìá</t>
  </si>
  <si>
    <t>2007.03.06</t>
  </si>
  <si>
    <t>TUL</t>
  </si>
  <si>
    <t>ÑÇÕ-íû 2007.04.26-íû 61 òîîò òîãòîîëîîð 2007.07.17-íä ÌÕÁ-ýýñ</t>
  </si>
  <si>
    <t>"Àëòàí òóëãóóð" ÕÊ</t>
  </si>
  <si>
    <t>ÁÕ àéìãèéí ÁÌ¯éëäâýð</t>
  </si>
  <si>
    <t>2007.07.17</t>
  </si>
  <si>
    <t>ATU</t>
  </si>
  <si>
    <t>7,27,93</t>
  </si>
  <si>
    <t>2002,12,14-íû ÁÕ àéìãèéí òîãòîîëîîð èðãýí Ä.Ýíõòóÿàä øèëæ¿¿ëýâ12,17,02</t>
  </si>
  <si>
    <t>ÑÇÕ-íû 2007.08.17-íû 106 òîîò òîãòîîëîîð 2007.10.05-íä ÌÕÁ-ýýñ</t>
  </si>
  <si>
    <t>"Ç¿¿íòóðóóí" ÕÊ</t>
  </si>
  <si>
    <t>Óâñ. Ç¿¿íòóðóóíû ÑÀÀ</t>
  </si>
  <si>
    <t>2007.10.05</t>
  </si>
  <si>
    <t>ZNT</t>
  </si>
  <si>
    <t>ÑÇÕ-íû 2007.08.17-íû 109 òîîò òîãòîîëîîð 2007.10.26-íä ÌÕÁ-ýýñ</t>
  </si>
  <si>
    <t>"Ìîíãîë øóóä.òðàíñ"</t>
  </si>
  <si>
    <t>ÀÒ-ûí 2-ð áààç</t>
  </si>
  <si>
    <t>2007.10.26</t>
  </si>
  <si>
    <t>MTR</t>
  </si>
  <si>
    <t>ÑÇÕ-íû 2007.09.28-íû 128 òîîò òîãòîîëîîð 2007.12.03-íä ÌÕÁ-ýýñ</t>
  </si>
  <si>
    <t>"Àâòî äèçåëü" ÕÊ</t>
  </si>
  <si>
    <t>2007.12.03</t>
  </si>
  <si>
    <t>GHL</t>
  </si>
  <si>
    <t>ÑÇÕ-íû 2006.12.26-íû 70 òîîò òîãòîîëîîð 2008.01.03-íä ÌÕÁ-ýýñ</t>
  </si>
  <si>
    <t>"Õàçíà" ÕÊ</t>
  </si>
  <si>
    <t>Áª,Áººí.õóä.áàð.áààç</t>
  </si>
  <si>
    <t>2008.01.03</t>
  </si>
  <si>
    <t>HZH</t>
  </si>
  <si>
    <t>9,2,93</t>
  </si>
  <si>
    <t>ÑÇÕ-íû 2007.10.30-íû 140 òîîò òîãòîîëîîð 2008.02.22-íä ÌÕÁ-ýýñ</t>
  </si>
  <si>
    <t>"Òýíõëýã-Óñ" ÕÊ</t>
  </si>
  <si>
    <t>ÓÀÀ àâòîáààç</t>
  </si>
  <si>
    <t>2008.02.22</t>
  </si>
  <si>
    <t>TNV</t>
  </si>
  <si>
    <t>12,4,92</t>
  </si>
  <si>
    <t>ÑÇÕ-íû 2007.12.26-íû 208 òîîò òîãòîîëîîð 2008.02.26-íä ÌÕÁ-ýýñ</t>
  </si>
  <si>
    <t>"Æàííà-Ä-Àðê" ÕÊ</t>
  </si>
  <si>
    <t>Òåõíîëîãè òýýâ.áààç</t>
  </si>
  <si>
    <t>2008.02.26</t>
  </si>
  <si>
    <t>LZB</t>
  </si>
  <si>
    <t>ÑÇÕ-íû 2007.10.30-íû 139 òîîò òîãòîîëîîð 2008.03.31-íä ÌÕÁ-ýýñ /ГЗ-ийн 2008-03-31-ны 50 тоот тушаалаар/</t>
  </si>
  <si>
    <t>"Äàìæëàãà áààç" ÕÊ</t>
  </si>
  <si>
    <t>Õàòãàë. äàìæë. áààç</t>
  </si>
  <si>
    <t>2008.03.31</t>
  </si>
  <si>
    <t>DBZ</t>
  </si>
  <si>
    <t>3,7,93</t>
  </si>
  <si>
    <t>ÑÇÕ-íû 2008.03.28-íû 75 òîîò òîãòîîëîîð 2008.04.24-íä ÌÕÁ-ýýñ /ГЗ-ийн 2008-04-24-ны 58 тоот тушаалаар/</t>
  </si>
  <si>
    <t>"Ñ¿ëæýý" ÕÊ</t>
  </si>
  <si>
    <t>Ñ¿ëæìýë 2-ð ¿éëäâýð</t>
  </si>
  <si>
    <t>2008.04.24</t>
  </si>
  <si>
    <t>MSL</t>
  </si>
  <si>
    <t>ÑÇÕ-íû 2008.03.13-íû 40 òîîò òîãòîîëоор 2008.06.06-íä ÌÕÁ-ýýñ /ГЗ-ийн 2008-06-06-ны 81 тоот тушаалаар/</t>
  </si>
  <si>
    <t>"Ýìíýëýãèéí òåõíèê" ХК</t>
  </si>
  <si>
    <t>Ýìíýëýãèéí òò çàñâàð</t>
  </si>
  <si>
    <t>2008.06.06</t>
  </si>
  <si>
    <t>ENT</t>
  </si>
  <si>
    <t>3,13,95</t>
  </si>
  <si>
    <t>ÑÇÕ-íû 2008.05.08-íû 115 òîîò òîãòîîëоор 2008.07.04-íä ÌÕÁ-ýýñ /ГЗ-ийн 2008-07-04-ны 106 тоот тушаалаар/</t>
  </si>
  <si>
    <t>"Ìîíìîéä" ÕÊ</t>
  </si>
  <si>
    <t>ÁÌÝ-èéí ¿éëäâýð</t>
  </si>
  <si>
    <t>2008.07.04</t>
  </si>
  <si>
    <t>BLA</t>
  </si>
  <si>
    <t>ÑÇÕ-íû 2008.06.12-íû 167 òîîò òîãòîîëоор 2008.08.26-íä ÌÕÁ-ýýñ /ГЗ-ийн 2008-08-26-ны 131 тоот тушаалаар/</t>
  </si>
  <si>
    <t>"Àòàð ×àíäãàí"  ÕÊ</t>
  </si>
  <si>
    <t>×àíäàãàíû ÑÀÀ</t>
  </si>
  <si>
    <t>2008.08.26</t>
  </si>
  <si>
    <t>ACH</t>
  </si>
  <si>
    <t>12,10,93</t>
  </si>
  <si>
    <t>ÑÇÕ-íû 2007.11.29-íû 166 òîîò òîãòîîëоор 2008.08.26-íä ÌÕÁ-ýýñ /ГЗ-ийн 2008-08-26-ны 132 тоот тушаалаар/</t>
  </si>
  <si>
    <t>"À÷àà òýýâýð" ÕÊ</t>
  </si>
  <si>
    <t>Óâñ 9-ð áààç</t>
  </si>
  <si>
    <t>ATE</t>
  </si>
  <si>
    <t>4,1,93</t>
  </si>
  <si>
    <t>ÑÇÕ-íû 2008.07.07-íû 166 òîîò òîãòîîëоор 2008.09.04-íä ÌÕÁ-ýýñ /ГЗ-ийн 2008-09-04-ны 135 тоот тушаалаар/</t>
  </si>
  <si>
    <t>"Äàðõàí-ªðãºº" ÕÊ</t>
  </si>
  <si>
    <t>2008.09.04</t>
  </si>
  <si>
    <t>DER</t>
  </si>
  <si>
    <t>ÑÇÕ-íû 2008.05.08-íû 118 òîîò òîãòîîëоор 2008.10.14-íä ÌÕÁ-ýýñ /ГЗ-ийн 2008-10-14-ны 152 тоот тушаалаар/</t>
  </si>
  <si>
    <t>"Ãàí íýãäýë"  ÕÊ</t>
  </si>
  <si>
    <t>Áàð.óãñðàëòûí òðåñò</t>
  </si>
  <si>
    <t>2008.10.14</t>
  </si>
  <si>
    <t>GNL</t>
  </si>
  <si>
    <t>ҮЦÕ-íû 2005.06.07-íû 36 òîîò òîãòîîëоор 2008.10.29-íä ÌÕÁ-ýýñ /ГЗ-ийн 2008-10-29-ний 159 тоот тушаалаар/</t>
  </si>
  <si>
    <t>"Äîðíîä Ñèòî" ÕÊ</t>
  </si>
  <si>
    <t>Ñèëèêàò òîîñã. ¿éëäâýð</t>
  </si>
  <si>
    <t>2008.10.29</t>
  </si>
  <si>
    <t>SIT</t>
  </si>
  <si>
    <t>6,23,93</t>
  </si>
  <si>
    <t>ÑÇÕ-íû 2008.10.22-íû 218 òîîò òîãòîîëоор 2008.12.12-íä ÌÕÁ-ýýñ /ГЗ-ийн 2008-12-12-ны 181 тоот тушаалаар/</t>
  </si>
  <si>
    <t>"Äîðíûí áýðñ" ÕÊ</t>
  </si>
  <si>
    <t>Õýðëýí ï¿¿ñ</t>
  </si>
  <si>
    <t>2008.12.21</t>
  </si>
  <si>
    <t>HHB</t>
  </si>
  <si>
    <t>6,16,93</t>
  </si>
  <si>
    <t>ÑÇÕ-íû 2008.11.28-íû 257 òîîò òîãòîîëоор 2008.12.26-íä ÌÕÁ-ýýñ /ГЗ-ийн 2008-12-26-ны 191 тоот тушаалаар/</t>
  </si>
  <si>
    <t>"Óðãàö ºãººæ" ÕÊ</t>
  </si>
  <si>
    <t>Íîãîîíû êîìáèíàòûí õàäãàëàìæèéí 4-ð àæ àõóé</t>
  </si>
  <si>
    <t>2008.12.26</t>
  </si>
  <si>
    <t>BNZ</t>
  </si>
  <si>
    <t>ÑÇÕ-íû 2008.06.12-íû 161 òîîò òîãòîîëоор 2009.01.24-íä ÌÕÁ-ýýñ /ГЗ-ийн 2009-01-23-ны 16 тоот тушаалаар/</t>
  </si>
  <si>
    <t>"Àëòàí æîëîî-ãîâü" ÕÊ</t>
  </si>
  <si>
    <t>11-ð àâòî áààç</t>
  </si>
  <si>
    <t>2009.01.24</t>
  </si>
  <si>
    <t>ATG</t>
  </si>
  <si>
    <t>12,15,92</t>
  </si>
  <si>
    <t>ÑÇÕ-íû 2008.11.28-íû 262 òîîò òîãòîîëоор 2009.03.10-íä ÌÕÁ-ýýñ /ГЗ-ийн 2009-03-10-ны 39 тоот тушаалаар/</t>
  </si>
  <si>
    <t>"Èõ ªðòºº" ÕÊ</t>
  </si>
  <si>
    <t>áàðèëãà òðåñò</t>
  </si>
  <si>
    <t>2009.03.10</t>
  </si>
  <si>
    <t>URT</t>
  </si>
  <si>
    <t>ÑÇÕ-íû 2009.03.26-íû 54 òîîò òîãòîîëоор 2009.06.08-íä ÌÕÁ-ýýñ /ГЗ-ийн 2009-06-08-ны 1/91 тоот тушаалаар/</t>
  </si>
  <si>
    <t>yu bn</t>
  </si>
  <si>
    <t>"Ç¿ðõ óóë" ÕÊ</t>
  </si>
  <si>
    <t>Õàð õîðèí 34-ð áààç</t>
  </si>
  <si>
    <t>2009.06.08</t>
  </si>
  <si>
    <t>TGD</t>
  </si>
  <si>
    <t>ÑÇÕ-íû 2009.03.26-íû 55 òîîò òîãòîîëоор 2009.06.08-íä ÌÕÁ-ýýñ /ГЗ-ийн 2009-06-08-ны 1/92 тоот тушаалаар/</t>
  </si>
  <si>
    <t>"Æèðìýí ñ¿ëæýý"  ÕÊ</t>
  </si>
  <si>
    <t>Áàðèëãà ìàò.¿éëäâýð</t>
  </si>
  <si>
    <t>UUG</t>
  </si>
  <si>
    <t>5,17,92</t>
  </si>
  <si>
    <t>äàìïóóðñàí</t>
  </si>
  <si>
    <t>ÑÇÕ-íû 2009.03.26-íû 56 òîîò òîãòîîëоор 2009.06.08-íä ÌÕÁ-ýýñ /ГЗ-ийн 2009-06-08-ны 1/93 тоот тушаалаар/</t>
  </si>
  <si>
    <t>"Ýä õýðýãëýã÷.òºâ" ÕÊ</t>
  </si>
  <si>
    <t>ªâºðõ. ÕÕ õîëáîî</t>
  </si>
  <si>
    <t>EHT</t>
  </si>
  <si>
    <t>1,13,93</t>
  </si>
  <si>
    <t>ÑÇÕ-íû 2009.03.26-íû 57 òîîò òîãòîîëоор 2009.06.08-íä ÌÕÁ-ýýñ /ГЗ-ийн 2009-06-08-ны 1/94 тоот тушаалаар/</t>
  </si>
  <si>
    <t>"Øàíõ"  ÕÊ</t>
  </si>
  <si>
    <t>SNH</t>
  </si>
  <si>
    <t>ÑÇÕ-íû 2009.03.26-íû 58 òîîò òîãòîîëоор 2009.06.08-íä ÌÕÁ-ýýñ /ГЗ-ийн 2009-06-08-ны 1/95 тоот тушаалаар/</t>
  </si>
  <si>
    <t>"Íàéä"  ÕÊ</t>
  </si>
  <si>
    <t>Áººíèé áàðàà áààç</t>
  </si>
  <si>
    <t>NDR</t>
  </si>
  <si>
    <t>ÑÇÕ-íû 2009.03.26-íû 60 òîîò òîãòîîëоор 2009.06.08-íä ÌÕÁ-ýýñ /ГЗ-ийн 2009-06-08-ны 1/96 тоот тушаалаар/</t>
  </si>
  <si>
    <t>"Ìîí Óðãàö" ÕÊ</t>
  </si>
  <si>
    <t>Áóëãàí. Ñàíñàð ÒÀÀ</t>
  </si>
  <si>
    <t>URC</t>
  </si>
  <si>
    <t>5,19,93</t>
  </si>
  <si>
    <t>ÑÇÕ-íû 2009.03.26-íû 61 òîîò òîãòîîëоор 2009.06.08-íä ÌÕÁ-ýýñ /ГЗ-ийн 2009-06-08-ны 1/97 тоот тушаалаар/</t>
  </si>
  <si>
    <t>"Ìàãñàðæàâ" ÕÊ</t>
  </si>
  <si>
    <t>MGG</t>
  </si>
  <si>
    <t>8,30,93</t>
  </si>
  <si>
    <t>ÑÇÕ-íû 2009.03.26-íû 62 òîîò òîãòîîëоор 2009.06.08-íä ÌÕÁ-ýýñ /ГЗ-ийн 2009-06-08-ны 1/98 тоот тушаалаар/</t>
  </si>
  <si>
    <t>"Ìºíõñàíñàð" ÕÊ</t>
  </si>
  <si>
    <t>"Ñàíñàð" ÒÀÀ</t>
  </si>
  <si>
    <t>SSR</t>
  </si>
  <si>
    <t>ÑÇÕ-íû 2009.03.26-íû 59 òîîò òîãòîîëоор 2009.06.08-íä ÌÕÁ-ýýñ /ГЗ-ийн 2009-06-08-ны 1/99 тоот тушаалаар/</t>
  </si>
  <si>
    <t>"Äàðõàí õóäàëäàà" ÕÊ</t>
  </si>
  <si>
    <t>Äàðõàí Áººí.áàð.áààç</t>
  </si>
  <si>
    <t>ARL</t>
  </si>
  <si>
    <t>9,28,92</t>
  </si>
  <si>
    <t>92984òºðä òòõà</t>
  </si>
  <si>
    <t>ÑÇÕ-íû 2009.01.29-íû 26 òîîò òîãòîîëоор 2009.07.01-нд ÌÕÁ-ýýñ /ГЗ-ийн 2009-07-01-ний 1/110 тоот тушаалаар/</t>
  </si>
  <si>
    <t>"Òºâ Îðãèë" ÕÊ</t>
  </si>
  <si>
    <t>Òºâ àéìàã áàðèëãà óãñðàëòûí òðåñò</t>
  </si>
  <si>
    <t>2009.07.01</t>
  </si>
  <si>
    <t>ORL</t>
  </si>
  <si>
    <t>7,14,92</t>
  </si>
  <si>
    <t>ÑÇÕ-íû 2009.07.28-íû 171 òîîò òîãòîîëоор 2009.09.02-íд ÌÕÁ-ýýñ /ГЗ-ийн 2009-09-02-ны 1/128 тоот тушаалаар/</t>
  </si>
  <si>
    <t>"ÇÃÌÑ" ÕÊ</t>
  </si>
  <si>
    <t>Ñîíèí</t>
  </si>
  <si>
    <t>2009.09.02</t>
  </si>
  <si>
    <t>ZMS</t>
  </si>
  <si>
    <t>ÒÒÕÀ äýýð õ¿ì¿¿ñèéí íýð äýýð øèëæýýã¿é áàéíà 10,21,02</t>
  </si>
  <si>
    <t>ÑÇÕ-íû 2009.06.25-íû 149 òîîò òîãòîîëоор 2009.09.04-íд ÌÕÁ-ýýñ /ГЗ-ийн 2009-09-04-ний 1/131 тоот тушаалаар/</t>
  </si>
  <si>
    <t>"Ñàâàí òðåéä" ÕÊ</t>
  </si>
  <si>
    <t>Ñàâàíãèéí ¿éëäâýð</t>
  </si>
  <si>
    <t>2009.09.04</t>
  </si>
  <si>
    <t>SVN</t>
  </si>
  <si>
    <t>7,25,92</t>
  </si>
  <si>
    <t>ÑÇÕ-íû 2009.10.28-íû 216 òîîò òîãòîîëоор 2009.11.12-íд ÌÕÁ-ýýñ /ГЗ-ийн 2009-11-12-нû 1/160 тоот тушаалаар/</t>
  </si>
  <si>
    <t>"Äýýæ" ÕÊ</t>
  </si>
  <si>
    <t>Õ¿ëýìæèéí àæ àõóé</t>
  </si>
  <si>
    <t>2009.11.12</t>
  </si>
  <si>
    <t>DEE</t>
  </si>
  <si>
    <t>ÑÇÕ-íû 2009.09.10-íû 179 òîîò òîãòîîëоор 2009.11.12-íд ÌÕÁ-ýýñ /ГЗ-ийн 2009-11-12-нû 1/160 тоот тушаалаар/</t>
  </si>
  <si>
    <t>"Äýëãýðòðåéä" ÕÊ</t>
  </si>
  <si>
    <t>ÑÁ, ªÕÁÇÇÇÃàçàð</t>
  </si>
  <si>
    <t>DLB</t>
  </si>
  <si>
    <t>ÑÇÕ-íû 2009.10.28-íû 215 òîîò òîãòîîëоор 2009.11.12-íд ÌÕÁ-ýýñ /ГЗ-ийн 2009-11-12-нû 1/160 тоот тушаалаар/</t>
  </si>
  <si>
    <t>"Áàðóóí-Óðò Óñ" ÕÊ</t>
  </si>
  <si>
    <t>Ñ¿õáààòàð ÓÀÀÊ</t>
  </si>
  <si>
    <t>BUS</t>
  </si>
  <si>
    <t>ÑÇÕ-íû 2009.10.08-íû 202 òîîò òîãòîîëоор 2009.11.12-íд ÌÕÁ-ýýñ /ГЗ-ийн 2009-11-12-нû 160 тоот тушаалаар/</t>
  </si>
  <si>
    <t>"Áèëãýõ áàÿíá¿ðä" ÕÊ</t>
  </si>
  <si>
    <t>Ñ¿õáààòàð,Õ¿íñ.¿éëäâýð</t>
  </si>
  <si>
    <t>SBU</t>
  </si>
  <si>
    <t>7,26,94</t>
  </si>
  <si>
    <t>ÑÇÕ-íû 2009.10.08-íû 201 òîîò òîãòîîëоор 2009.12.18-íд ÌÕÁ-ýýñ /ГЗ-ийн 2009-12-18-нû 182 тоот тушаалаар/</t>
  </si>
  <si>
    <t>"Ìîí õºëºã"ÕÊ</t>
  </si>
  <si>
    <t>Äàðõàí,26-ð áààç</t>
  </si>
  <si>
    <t>2009.12.18</t>
  </si>
  <si>
    <t>DTT</t>
  </si>
  <si>
    <t>11,9,92</t>
  </si>
  <si>
    <t>ÑÇÕ-íû 2007.06.27-íû 88 òîîò òîãòîîëоор 2010.02.23-íд ÌÕÁ-ýýñ /ГЗ-ийн 2010-02-23-нû 30 тоот тушаалаар/</t>
  </si>
  <si>
    <t>"ÝÕÁÓÒ"ÕÊ</t>
  </si>
  <si>
    <t>Ýð÷Õ¿÷ÁàðÓãñÒðåñò</t>
  </si>
  <si>
    <t>2010.02.23</t>
  </si>
  <si>
    <t>EHB</t>
  </si>
  <si>
    <t>6,18,98</t>
  </si>
  <si>
    <t>Æàðãàëñàéõàí-100 õóâü</t>
  </si>
  <si>
    <t>ÑÇÕ-íû 2005.05.27-íû 24 òîîò òîãòîîëоор 2010.02.23-íд ÌÕÁ-ýýñ /ГЗ-ийн 2010-02-23-нû 30 тоот тушаалаар/</t>
  </si>
  <si>
    <t>"Øîðîîí îðä"ÕÊ</t>
  </si>
  <si>
    <t>Øîðîîí îðä Ó¯Ã</t>
  </si>
  <si>
    <t>SHO</t>
  </si>
  <si>
    <t>27-12285</t>
  </si>
  <si>
    <t>Áàòòîãòîõ 100 õóâü ýçýìøäýã.</t>
  </si>
  <si>
    <t>ÑÇÕ-íû 2009.03.26-íû 42 òîîò òîãòîîëоор 2010.02.23-íд ÌÕÁ-ýýñ /ГЗ-ийн 2010-02-23-нû 30 тоот тушаалаар/</t>
  </si>
  <si>
    <t>"Ìàíçóøèð"ÕÊ</t>
  </si>
  <si>
    <t>Ìàíçóøèð Ó¯Ã</t>
  </si>
  <si>
    <t>MZR</t>
  </si>
  <si>
    <t>12,23,98</t>
  </si>
  <si>
    <t>ÑÇÕ-íû 2006.07.07-íû 22 òîîò òîãòîîëоор 2010.02.23-íд ÌÕÁ-ýýñ /ГЗ-ийн 2010-02-23-нû 30 тоот тушаалаар/</t>
  </si>
  <si>
    <t>"Êåðàìçèò"  ÕÊ</t>
  </si>
  <si>
    <t>Äàðõàí êåðàì/ çàâîä</t>
  </si>
  <si>
    <t>KER</t>
  </si>
  <si>
    <t>ÑÇÕ-íû 2008.05.08-íû 116 òîîò òîãòîîëоор 2010.02.23-íд ÌÕÁ-ýýñ /ГЗ-ийн 2010-02-23-нû 30 тоот тушаалаар/</t>
  </si>
  <si>
    <t>"Áàÿí-Óóë" ÕÊ</t>
  </si>
  <si>
    <t>ªì.ãîâü.Í/õîîë.òðåñò</t>
  </si>
  <si>
    <t>BUL</t>
  </si>
  <si>
    <t>3,11,93</t>
  </si>
  <si>
    <t>ÑÇÕ-íû 2005.12.15-íû 60 òîîò òîãòîîëоор 2010.02.23-íд ÌÕÁ-ýýñ /ГЗ-ийн 2010-02-23-нû 30 тоот тушаалаар/</t>
  </si>
  <si>
    <t>"ªíäºð äîâ" ÕÊ</t>
  </si>
  <si>
    <t>Ìàíçø..ºðãºº æ.áààç</t>
  </si>
  <si>
    <t>UDV</t>
  </si>
  <si>
    <t>8,95 Êoyanagi Yujiro</t>
  </si>
  <si>
    <t>Japanese</t>
  </si>
  <si>
    <t>ÑÇÕ-íû 2007.11.29-íû 165 òîîò òîãòîîëоор 2010.02.23-íд ÌÕÁ-ýýñ /ГЗ-ийн 2010-02-23-нû 30 тоот тушаалаар/</t>
  </si>
  <si>
    <t>"Àÿí÷èí" ÕÊ</t>
  </si>
  <si>
    <t>Õî.Àâòî òýýâ.4-ð áààç</t>
  </si>
  <si>
    <t>AYN</t>
  </si>
  <si>
    <t>7,16,92</t>
  </si>
  <si>
    <t>ÑÇÕ-íû 2010.01.27-íû 30 òîîò òîãòîîëоор 2010.02.24-íд ÌÕÁ-ýýñ /ГЗ-ийн 2010-02-24-нû 31 тоот тушаалаар/</t>
  </si>
  <si>
    <t>"Öàöðàë Ìîí" ÕÊ</t>
  </si>
  <si>
    <t>Áàð.¿éëäâ."Öàöðàë"</t>
  </si>
  <si>
    <t>2010.02.24</t>
  </si>
  <si>
    <t>CCL</t>
  </si>
  <si>
    <t>ÑÇÕ-íû 2009.12.23-íû 279 òîîò òîãòîîëоор 2010.02.26-íд ÌÕÁ-ýýñ /ГЗ-ийн 2010-02-26-нû 33 тоот тушаалаар/</t>
  </si>
  <si>
    <t>"Áóÿíò" ÕÊ</t>
  </si>
  <si>
    <t>2010.02.26</t>
  </si>
  <si>
    <t>BJT</t>
  </si>
  <si>
    <t>ÑÇÕ-íû 2010.01.27-íû 20 òîîò òîãòîîëоор 2010.03.04-íд ÌÕÁ-ýýñ /ГЗ-ийн 2010-03-04-нû 37 тоот тушаалаар/</t>
  </si>
  <si>
    <t>"Ìîíфрэш шүүс"ÕÊ</t>
  </si>
  <si>
    <t>"Ìîíфрэш шүүс"ÕХÊ</t>
  </si>
  <si>
    <t>хүнсний шингэн бүтээгдэхүүн боловсруулаж, савлах</t>
  </si>
  <si>
    <t>2010.03.04</t>
  </si>
  <si>
    <t>MNF</t>
  </si>
  <si>
    <t>ÑÇÕ-íû 2009.12.23-íû 280 òîîò òîãòîîëоор 2010.03.05-íд ÌÕÁ-ýýñ /ГЗ-ийн 2010-03-04-нû 38 тоот тушаалаар/</t>
  </si>
  <si>
    <t>"Õîòãîð" ÕÊ</t>
  </si>
  <si>
    <t>Áª, í¿¿ðñ. óóðõàé</t>
  </si>
  <si>
    <t>2010.03.05</t>
  </si>
  <si>
    <t>NHT</t>
  </si>
  <si>
    <t>ÑÇÕ-íû 2010.03.24-íий 89 òîîò òîãòîîëоор 2010.04.08-íд ÌÕÁ-ýýñ /ГЗ-ийн 2010-04-08-нû 54 тоот тушаалаар/</t>
  </si>
  <si>
    <t>"ªãººæ-Ñ¿ìáýð" ÕÊ</t>
  </si>
  <si>
    <t>2010.04.08</t>
  </si>
  <si>
    <t>OGU</t>
  </si>
  <si>
    <t>2,2,93</t>
  </si>
  <si>
    <t>ÑÇÕ-íû 2010.03.24-íий 91 òîîò òîãòîîëоор 2010.04.16-íд ÌÕÁ-ýýñ /ГЗ-ийн 2010-04-16-нû 56 тоот тушаалаар/</t>
  </si>
  <si>
    <t>"Õàø Îðä" ÕÊ</t>
  </si>
  <si>
    <t>ÓÁ, áàðèëã.¿éëäâýð</t>
  </si>
  <si>
    <t>2010.04.16</t>
  </si>
  <si>
    <t>HOR</t>
  </si>
  <si>
    <t>ÁÍÌÀÓ-ûí ÇÃ-ûí 1991-íû 33-ð òîãòîîëîîð ÌÕÁ-ä á¿ðòãýâ</t>
  </si>
  <si>
    <t>2006-06-15-íû 390 òîîò ÒªÕ-íû øèéäâýðýýð 65130øèðõýã áóþó 34.7%-ã õóâü÷èëñàí</t>
  </si>
  <si>
    <t>ÑÇÕ-íû 2010.01.27-íы 23 òîîò òîãòîîëоор 2010.04.16-íд ÌÕÁ-ýýñ /ГЗ-ийн 2010-04-16-нû 55 тоот тушаалаар/</t>
  </si>
  <si>
    <t>"Ñïèðò áàë áóðàì" ÕÊ</t>
  </si>
  <si>
    <t>Ç¿¿íõàðàà õ¿íñ.êîìáèíàò</t>
  </si>
  <si>
    <t>SBB</t>
  </si>
  <si>
    <t>ÑÇÕ-íû 2010.03.24-íий 90 òîîò òîãòîîëоор 2010.04.22-íд ÌÕÁ-ýýñ /ГЗ-ийн 2010-04-22-нû 60 тоот тушаалаар/</t>
  </si>
  <si>
    <t>"Õîðèííàéìäóãààð áààç</t>
  </si>
  <si>
    <t>28-ð àâòîáààç</t>
  </si>
  <si>
    <t>2010.04.22</t>
  </si>
  <si>
    <t>AVT</t>
  </si>
  <si>
    <t>6,16,92</t>
  </si>
  <si>
    <t>ÑÇÕ-íû 2010.04.24-íий 126 òîîò òîãòîîëоор 2010.05.19-íд ÌÕÁ-ýýñ /ГЗ-ийн 2010-05-19-ний 71 тоот тушаалаар/</t>
  </si>
  <si>
    <t>"Àâòî êîìáèíàò" ÕÊ</t>
  </si>
  <si>
    <t>Àâòî êîìáèíàò</t>
  </si>
  <si>
    <t>2010.05.19</t>
  </si>
  <si>
    <t>ATK</t>
  </si>
  <si>
    <t>ÑÇÕ-íû 2010.01.27-íы 31 òîîò òîãòîîëоор 2010.05.27-íд ÌÕÁ-ýýñ /ГЗ-ийн 2010-05-27-ны 78 тоот тушаалаар/</t>
  </si>
  <si>
    <t>"ÍÈÊ" ÕÊ</t>
  </si>
  <si>
    <t>"Íåôòü Èìï Êîíöåðí"</t>
  </si>
  <si>
    <t>2010.05.27</t>
  </si>
  <si>
    <t>NIC</t>
  </si>
  <si>
    <t>6,15,94</t>
  </si>
  <si>
    <t>ÑÇÕ-íû 2010.05.28-íы 152 òîîò òîãòîîëоор 2010.06.24-нд ÌÕÁ-ýýñ /ГЗ-ийн 2010-06-23-ны 92 тоот тушаалаар/</t>
  </si>
  <si>
    <t>"Ýðäýíýò õèâñ" ÕÊ</t>
  </si>
  <si>
    <t>Ýðäýíýò.Õèâñ ¿éëäâýð</t>
  </si>
  <si>
    <t>2010.06.24</t>
  </si>
  <si>
    <t>ERH</t>
  </si>
  <si>
    <t>7,28,92</t>
  </si>
  <si>
    <t>ÑÇÕ-íû 2010.03.24-íий 96 òîîò òîãòîîëоор 2010.07.09-нд ÌÕÁ-ýýñ /ГЗ-ийн 2010-07-09-ний 109 тоот тушаалаар/</t>
  </si>
  <si>
    <t>"Èë÷-Àðõàíãàé" ÕÊ</t>
  </si>
  <si>
    <t>Ýð÷èì õ¿÷íèé ¿éëäâýð</t>
  </si>
  <si>
    <t>2010.07.09</t>
  </si>
  <si>
    <t>IAR</t>
  </si>
  <si>
    <t>3,20,95</t>
  </si>
  <si>
    <t>АХ аймаг ИТХ-2008.03.05</t>
  </si>
  <si>
    <t>16 тоот</t>
  </si>
  <si>
    <t>2010.03.31</t>
  </si>
  <si>
    <t>ÑÇÕ-íû 2010.08.25-íы 233 òîîò òîãòîîëоор 2010.09.21-нд ÌÕÁ-ýýñ /ГЗ-ийн 2010-09-21-ний .... тоот тушаалаар/</t>
  </si>
  <si>
    <t>"Àðäûí ýðõ" ÕÊ</t>
  </si>
  <si>
    <t>2010.09.21</t>
  </si>
  <si>
    <t>ARX</t>
  </si>
  <si>
    <t>10,05,00</t>
  </si>
  <si>
    <t>20,05,00</t>
  </si>
  <si>
    <t>ÑÇÕ-íû 2010.03.24-íий 94 òîîò òîãòîîëоор 2010.09.23-нд ÌÕÁ-ýýñ /ГЗ-ийн 2010-09-23-ний ..... тоот тушаалаар/</t>
  </si>
  <si>
    <t>"Õàéëààñò" ÕÊ</t>
  </si>
  <si>
    <t>Õàéëààñò.Àëò óóðõàé</t>
  </si>
  <si>
    <t>2010.09.23</t>
  </si>
  <si>
    <t>HST</t>
  </si>
  <si>
    <t>08,06,00</t>
  </si>
  <si>
    <t>03,07,00</t>
  </si>
  <si>
    <t>2000,06,08-415 òîîò ÒªÕ-íû òîãòîîëîîð 2000,07,03-íä òºðèéí ºì÷ íü õàñàãäñàí.òòõà4976425òºðä</t>
  </si>
  <si>
    <t>ÑÇÕ-íû 2010.09.23-íы 236 òîîò òîãòîîëоор 2010.10.13-нд ÌÕÁ-ýýñ /ГЗ-ийн 2010-10-13-ны 145 тоот тушаалаар/</t>
  </si>
  <si>
    <t>"Ìîíãîë базальт" ÕÊ</t>
  </si>
  <si>
    <t>Барилгын материалын үйлдвэрлэл, худалдаа</t>
  </si>
  <si>
    <t>2010.10.13</t>
  </si>
  <si>
    <t>MBZ</t>
  </si>
  <si>
    <t>ÑÇÕ-íû 2005.12.15-íы 59 òîîò òîãòîîëоор 2011.5.05-нд ÌÕÁ-ýýñ /ГЗ-ийн 2011-5-5-ны 93 тоот тушаалаар/</t>
  </si>
  <si>
    <t>"Õàø ªðãºº" ÕÊ</t>
  </si>
  <si>
    <t>ÁÕ àéìãèéí ÁÓÒðåñò</t>
  </si>
  <si>
    <t>2011.5.5</t>
  </si>
  <si>
    <t>BRL</t>
  </si>
  <si>
    <t>ÑÇÕ-íû 2011.04.21-íий 111 òîîò òîãòîîëоор 2011.5.12-нд ÌÕÁ-ýýñ /ГЗ-ийн 2011-5-12-ны 100 тоот тушаалаар/</t>
  </si>
  <si>
    <t>"Ìîíãîë íîì" ÕÊ</t>
  </si>
  <si>
    <t>Ìîíãîë íîì ï¿¿ñ</t>
  </si>
  <si>
    <t>2011.5.12</t>
  </si>
  <si>
    <t>MNM</t>
  </si>
  <si>
    <t>8,24,92</t>
  </si>
  <si>
    <t>ÑÇÕ-íû 2011.05.06-íы 137 òîîò òîãòîîëоор 2011.6.16-нд ÌÕÁ-ýýñ /ГЗ-ийн 2011-6-16-ны 133 тоот тушаалаар/</t>
  </si>
  <si>
    <t>"Îðä õàðø" ÕÊ</t>
  </si>
  <si>
    <t>Äàðõàí Áàðèëãà ¿éëä.íýãä</t>
  </si>
  <si>
    <t>2011.6.16</t>
  </si>
  <si>
    <t>OHR</t>
  </si>
  <si>
    <t>12,24,93</t>
  </si>
  <si>
    <t>ÑÇÕ-íû 2011.10.12-íы 298 òîîò òîãòîîëоор 2011.11.09-нд ÌÕÁ-ýýñ /ГЗ-ийн 2011-11.9-ний 200 тоот тушаалаар/</t>
  </si>
  <si>
    <t>"×àíäìàíü òàë" ÕÊ</t>
  </si>
  <si>
    <t>Äîðíîä ÓÀÀÊîíòîð</t>
  </si>
  <si>
    <t>2011.11.9</t>
  </si>
  <si>
    <t>CNT</t>
  </si>
  <si>
    <t>ÑÇÕ-íû 2011.10.12-íы 296 òîîò òîãòîîëоор 2011.11.30-нд ÌÕÁ-ýýñ /ГЗ-ийн 2011-11.30-ны 214 тоот тушаалаар/</t>
  </si>
  <si>
    <t>"Æîë" ÕÊ</t>
  </si>
  <si>
    <t>Áª, Çàì áàð.àø.êîíò</t>
  </si>
  <si>
    <t>2011.11.30</t>
  </si>
  <si>
    <t>JOL</t>
  </si>
  <si>
    <t>ÑÇÕ-íû 2011.11.12-íы 297 òîîò òîãòîîëоор 2012.4.9-нд ÌÕÁ-ýýñ /ГЗ-ийн 2012-4.9-ны …. тоот тушаалаар/</t>
  </si>
  <si>
    <t>"Ìîíýíçèì"ÕÊ</t>
  </si>
  <si>
    <t>Ýì áèîìýëäìýë,ñóâ-íû õ¿íñ</t>
  </si>
  <si>
    <t>2012.4.9</t>
  </si>
  <si>
    <t>MEZ</t>
  </si>
  <si>
    <t>37,5 Ôóñàî Õàðà</t>
  </si>
  <si>
    <t>2002,07,05-íä á¿ðòãýâ.</t>
  </si>
  <si>
    <t>2003,04,07-íä òºðèéí ìýäëèéã õàñàâ.07-620428 Ì.Àëòàíöýöýã</t>
  </si>
  <si>
    <t>ÕÕÊ áîëñîí ãýæ ÿðèâ.632431Ãàí÷èìýã</t>
  </si>
  <si>
    <t>ÑÇÕ-íû 2012.5.9-íы 138 òîîò òîãòîîëоор 2012.5.29-нд ÌÕÁ-ýýñ /ГЗ-ийн 2012-5.29-ны ... тоот тушаалаар/</t>
  </si>
  <si>
    <t>"Áàòøèðýýò" ÕÊ</t>
  </si>
  <si>
    <t>Áàòøèð.Îé ìîä.¿éëäâýð</t>
  </si>
  <si>
    <t>2012.5.29</t>
  </si>
  <si>
    <t>BST</t>
  </si>
  <si>
    <t>ÑÇÕ-íû 2012.7.4-íий 223 òîîò òîãòîîëоор 2012.7.17-нд ÌÕÁ-ýýñ /ГЗ-ийн 2012-7-17-ны 87 тоот тушаалаар/</t>
  </si>
  <si>
    <t>"Áàéãóóëàìæ"ÕÊ</t>
  </si>
  <si>
    <t>åðºíõèé òðåñò</t>
  </si>
  <si>
    <t>2012.7.17</t>
  </si>
  <si>
    <t>BGL</t>
  </si>
  <si>
    <t>ÑÇÕ-íû 2012.10.25-íы 318 òîîò òîãòîîëоор 2012.12.14-нд ÌÕÁ-ýýñ /ГЗ-ийн 2012-12-14-ны 161 тоот тушаалаар/</t>
  </si>
  <si>
    <t xml:space="preserve">"Äýëãýðýõ õ¿íñ"ÕÊ </t>
  </si>
  <si>
    <t>ªâºðõ/Õ¿íñíèé ¿éëäâýð</t>
  </si>
  <si>
    <t>2012.12.14</t>
  </si>
  <si>
    <t>DHO</t>
  </si>
  <si>
    <t>2,1,93</t>
  </si>
  <si>
    <t>ÑÇÕ-íû 2012.11.28-íы 337 òîîò òîãòîîëоор 2012.12.27-нд ÌÕÁ-ýýñ /ГЗ-ийн 2012-12-27-ны 172 тоот тушаалаар/</t>
  </si>
  <si>
    <t>"Õóðõ ãîë" ÕÊ</t>
  </si>
  <si>
    <t>Õýíòèé "Õóðõ" ÑÀÀ</t>
  </si>
  <si>
    <t>2012.12.27</t>
  </si>
  <si>
    <t>HRH</t>
  </si>
  <si>
    <t>9,30,93</t>
  </si>
  <si>
    <t>ÑÇÕ-íû 2013.4.10-íы 144 òîîò òîãòîîëоор 2013.4.22-нд ÌÕÁ-ýýñ /ГЗ-ийн 2013-4-22-ны 48 тоот тушаалаар/</t>
  </si>
  <si>
    <t>"Ìîíãîëýìèìïåêñ"ÕÊ</t>
  </si>
  <si>
    <t>Ýìèéí õóäàëäàà ¿éë÷èëãýý, ¿éëäâýðëýë</t>
  </si>
  <si>
    <t>2013.04.22</t>
  </si>
  <si>
    <t>MEI</t>
  </si>
  <si>
    <t>2003,10,29-íä á¿ðòãýâ.</t>
  </si>
  <si>
    <t>2003,11,12-íä òºðèéí ìýäëèéí õóâüöààíä ººð÷ëºëò îðóóëàâ.</t>
  </si>
  <si>
    <t>ÒªÕ-2006.10.12-íû 599 òîîòîîð òºðèéí ìýäëèéí 20 405 334 /51%/-ã õóâü÷ëàâ.</t>
  </si>
  <si>
    <t>ÑÇÕ-íû 2013.4.10-íы 143 òîîò òîãòîîëоор 2013.5.6-нд ÌÕÁ-ýýñ /ГЗ-ийн 2013-5-6-ны 54 тоот тушаалаар/</t>
  </si>
  <si>
    <t>"Òóëãà" ÕÊ</t>
  </si>
  <si>
    <t>Õóä.òîí.òºõ.ãàçàð</t>
  </si>
  <si>
    <t>2013.5.6</t>
  </si>
  <si>
    <t>TLG</t>
  </si>
  <si>
    <t>ÑÇÕ-íû 2010.12.22-íы 434 òîîò òîãòîîëоор 2013.6.21-нд ÌÕÁ-ýýñ /ГЗ-ийн 2013-6-21-ний 83. тоот тушаалаар/</t>
  </si>
  <si>
    <t>"Áàÿí-Èòãýëò" ÕÊ</t>
  </si>
  <si>
    <t>ªìíºãîâü Áººí.áàðàà áààç</t>
  </si>
  <si>
    <t>2013.6.21</t>
  </si>
  <si>
    <t>ITL</t>
  </si>
  <si>
    <t>çºð¿¿òýé /2ø/</t>
  </si>
  <si>
    <t>ÑÇÕ-íû 2013.6.27-íы 233 òîîò òîãòîîëоор 2013.7.25-нд ÌÕÁ-ýýñ /ГЗ-ийн 2013-7-25-ний 106 тоот тушаалаар/</t>
  </si>
  <si>
    <t>"Îðõîí æèìñ íîãîî"ÕÊ</t>
  </si>
  <si>
    <t>Æèìñ íîã.êîíñ.¿éëäâýð</t>
  </si>
  <si>
    <t>2013.7.25</t>
  </si>
  <si>
    <t>OJN</t>
  </si>
  <si>
    <t>7,8,94</t>
  </si>
  <si>
    <t>"Ìîíãîë ø¿äýíç" ÕÊ</t>
  </si>
  <si>
    <t>Ñýëýíãý ø¿äýíç ¿éëäâýð</t>
  </si>
  <si>
    <t>MSD</t>
  </si>
  <si>
    <t>4,20,92</t>
  </si>
  <si>
    <t>"Æàâõëàíò õàðàà" ÕÊ</t>
  </si>
  <si>
    <t>"Äýýä áóÿí" ÕÊ</t>
  </si>
  <si>
    <t>Äóíäãîâü.Õàíûí ìàò.¿éëä</t>
  </si>
  <si>
    <t>DHM</t>
  </si>
  <si>
    <t>ÑÇÕ-íû 2013.6.12-íы 213 òîîò òîãòîîëоор 2013.7.25-нд ÌÕÁ-ýýñ /ГЗ-ийн 2013-7-25-ний 105 тоот тушаалаар/</t>
  </si>
  <si>
    <t>"Ýðäýíý çàì" ÕÊ</t>
  </si>
  <si>
    <t>Àâòî çàì, ã¿¿ð áàðèõ, ò¿¿õèé ýä ¿éëäâýðëýõ</t>
  </si>
  <si>
    <t>ERZ</t>
  </si>
  <si>
    <t>2002,04,04-íä á¿ðòãýâ.</t>
  </si>
  <si>
    <t>ÑÇÕ-íû 2013.6.27-íы 233, 2013.8.14-ний 279 òîîò òîãòîîëуудаар 2013.8.19-нд ÌÕÁ-ýýñ /ГЗ-ийн 2013-8-19-ний 116 тоот тушаалаар/</t>
  </si>
  <si>
    <t>"Àñðàëò õàéðõàí" ÕÊ</t>
  </si>
  <si>
    <t>Ò¿íõýë,îé ìîä. ¿éëäâýð</t>
  </si>
  <si>
    <t>2013.8.19</t>
  </si>
  <si>
    <t>ASH</t>
  </si>
  <si>
    <t>"Øèíýñ" ÕÊ</t>
  </si>
  <si>
    <t>Oé ìîäíû ¿éëäâýð</t>
  </si>
  <si>
    <t>SHS</t>
  </si>
  <si>
    <t>ÑÇÕ-íû 2013.8.14-íий 278 òîîò òîãòîîëоор 2013.8.23-нд ÌÕÁ-ýýñ /ГЗ-ийн 2013-8-23-ний 118 тоот тушаалаар/</t>
  </si>
  <si>
    <t>"Àãðî-Àìãàëàí" ÕÊ</t>
  </si>
  <si>
    <t>2013.8.23</t>
  </si>
  <si>
    <t>AGA</t>
  </si>
  <si>
    <t>4,13,92</t>
  </si>
  <si>
    <t>"Àðäûí çîðèã" ÕÊ</t>
  </si>
  <si>
    <t>Áàòñ¿ìáýð ÑÀÀ</t>
  </si>
  <si>
    <t>ARZ</t>
  </si>
  <si>
    <t>"Áàÿíìîä óóë" ÕÊ</t>
  </si>
  <si>
    <t>Ìîä.öàã.òóãàëã.¿éëäâýð</t>
  </si>
  <si>
    <t>BNM</t>
  </si>
  <si>
    <t>"Áàò õèéö"ÕÊ</t>
  </si>
  <si>
    <t>Õîëáîî.áàð.ìîíò.ãàçàð</t>
  </si>
  <si>
    <t>ZES</t>
  </si>
  <si>
    <t>"Áàÿíäºõºì" ÕÊ</t>
  </si>
  <si>
    <t>Ãà÷óóðòûí ÑÀÀ-í Áàÿíäºõºìèéí ñ¿¿íèé àæ àõóé</t>
  </si>
  <si>
    <t>BND</t>
  </si>
  <si>
    <t>5,16,92</t>
  </si>
  <si>
    <t>"Öàãààí÷óëóóò" ÕÊ</t>
  </si>
  <si>
    <t>Öàãààí÷.ãàíòèã.óóðõàé</t>
  </si>
  <si>
    <t>CGC</t>
  </si>
  <si>
    <t>4,10,92</t>
  </si>
  <si>
    <t>"Äýë áàÿíáóëàã" ÕÊ</t>
  </si>
  <si>
    <t>Àðõ, ñààë.ìåõ.ôåðì</t>
  </si>
  <si>
    <t>BBG</t>
  </si>
  <si>
    <t>"Ñýëýíãý ãóð.òýæ" ÕÊ</t>
  </si>
  <si>
    <t>Ñýëýíãý. Ãóðèë ¿éëäâýð</t>
  </si>
  <si>
    <t>SGT</t>
  </si>
  <si>
    <t>8,28,92</t>
  </si>
  <si>
    <t>"Íî¸í øàíä" ÕÊ</t>
  </si>
  <si>
    <t>Àðõóñò ñóì ÒÀÀ</t>
  </si>
  <si>
    <t>NSD</t>
  </si>
  <si>
    <t>"Îðõîí"  ÕÊ</t>
  </si>
  <si>
    <t>Õýðýãëýýíèé õîðøîî</t>
  </si>
  <si>
    <t>ORH</t>
  </si>
  <si>
    <t>6,2,92</t>
  </si>
  <si>
    <t>"Çàëóó÷óóä" ÕÊ</t>
  </si>
  <si>
    <t>Öýýë.Çàëóó÷óóä ÑÀÀ</t>
  </si>
  <si>
    <t>ZAL</t>
  </si>
  <si>
    <t>5,8,92</t>
  </si>
  <si>
    <t>"Õàíãàé"  ÕÊ</t>
  </si>
  <si>
    <t>ªâ.Õóæèðò ÁÓ êîíòîð</t>
  </si>
  <si>
    <t>HNG</t>
  </si>
  <si>
    <t>"Õóæèðò ªðãºº" ÕÊ</t>
  </si>
  <si>
    <t>ÁÓÊîíòîð</t>
  </si>
  <si>
    <t>HUJ</t>
  </si>
  <si>
    <t>"Øàð õîîëîé" ÕÊ</t>
  </si>
  <si>
    <t>Òºâ.Áîðíóóðûí ÑÀÀ</t>
  </si>
  <si>
    <t>"Ýðäýíýòîëãîé òºâ" ÕÊ</t>
  </si>
  <si>
    <t>Òºâ.Áàòñ¿ìáýðèéí ÑÀÀ</t>
  </si>
  <si>
    <t>ETL</t>
  </si>
  <si>
    <t>1999 îíä òºð íü çàðàãäñàí áàéíà.2002,12,06íä ººð÷ëºëò îðóóëàâ.</t>
  </si>
  <si>
    <t>"ªðãºí æèì" ÕÊ</t>
  </si>
  <si>
    <t>Áàÿíõ. Çàì áàð.êîíòîð</t>
  </si>
  <si>
    <t>JIM</t>
  </si>
  <si>
    <t>12,3,92</t>
  </si>
  <si>
    <t>"Ìàíäàë"  ÕÊ</t>
  </si>
  <si>
    <t>Õºâñ.Îé ìîäíû ¿éëäâýð</t>
  </si>
  <si>
    <t>MAN</t>
  </si>
  <si>
    <t>"Çîîñ òðåéä" ÕÊ</t>
  </si>
  <si>
    <t>Áàÿíõ/,Áººí.áàð,áààç</t>
  </si>
  <si>
    <t>ZOS</t>
  </si>
  <si>
    <t>¿à ÿâóóëààã¿é</t>
  </si>
  <si>
    <t>"Øàõàéò õàéðõàí" ÕÊ</t>
  </si>
  <si>
    <t>Áàÿííóóð.ÒÀÀ</t>
  </si>
  <si>
    <t>OZT</t>
  </si>
  <si>
    <t>12,14,92</t>
  </si>
  <si>
    <t>"Áàÿíõîíãîð" ÕÊ</t>
  </si>
  <si>
    <t>Ãåîë."Áàÿíõîíãîð"</t>
  </si>
  <si>
    <t>BNR</t>
  </si>
  <si>
    <t>2004 îûí ñàíõ¿¿ãèéí òàéëàí ãàðãààã¿é</t>
  </si>
  <si>
    <t>"Ñàéíøàíä"  ÕÊ</t>
  </si>
  <si>
    <t>Õóäàëäàà áýëò. àíãè</t>
  </si>
  <si>
    <t>SAI</t>
  </si>
  <si>
    <t>8,18,92</t>
  </si>
  <si>
    <t>"Óâñ" ÕÊ</t>
  </si>
  <si>
    <t>Óâñ ÕÁÓÃàçàð</t>
  </si>
  <si>
    <t>UVN</t>
  </si>
  <si>
    <t>12,23,92</t>
  </si>
  <si>
    <t>"Æàðãàëàíò-Òºâ" ÕÊ</t>
  </si>
  <si>
    <t>Æàðãàëàíòûí ÑÀÀ</t>
  </si>
  <si>
    <t>JRT</t>
  </si>
  <si>
    <t>"Áàÿíáóëàã-Ñýëýíãý" ÕÊ</t>
  </si>
  <si>
    <t>Ñýë,Áàÿíáóëàã ôåðì</t>
  </si>
  <si>
    <t>BBS</t>
  </si>
  <si>
    <t>3,30,93</t>
  </si>
  <si>
    <t>"Ìåðåé" ÕÊ</t>
  </si>
  <si>
    <t>Áàÿí-ªëãèé.Ìîä áîë.¿éëä</t>
  </si>
  <si>
    <t>MER</t>
  </si>
  <si>
    <t>3,9,93</t>
  </si>
  <si>
    <t>"Áóÿíòáóëàã" ÕÊ</t>
  </si>
  <si>
    <t>Õýíòèé ÕÁÓÎÒÀÀ</t>
  </si>
  <si>
    <t>HBB</t>
  </si>
  <si>
    <t>3,31,93</t>
  </si>
  <si>
    <t>2005.02.28-íä òºðèéí ìýäëèéí õóâüöààã õàñàâ.</t>
  </si>
  <si>
    <t>"Ñýëýíãý Õ¿ðä " ÕÊ</t>
  </si>
  <si>
    <t xml:space="preserve">  </t>
  </si>
  <si>
    <t>HDS</t>
  </si>
  <si>
    <t>"Èæ á¿ðýí" ÕÊ</t>
  </si>
  <si>
    <t>Ñýë, Ç¿¿íá¿ðýí ÑÀÀ</t>
  </si>
  <si>
    <t>BUR</t>
  </si>
  <si>
    <t>3,1,92</t>
  </si>
  <si>
    <t>"Èõ äààö" ÕÊ</t>
  </si>
  <si>
    <t>OBL</t>
  </si>
  <si>
    <t>"Òýýâýð öàãààííóóð ÕÊ</t>
  </si>
  <si>
    <t>CNR</t>
  </si>
  <si>
    <t>"Àâòîòýýâýð-27" ÕÊ</t>
  </si>
  <si>
    <t>AHD</t>
  </si>
  <si>
    <t>"Àâòîäààö" ÕÊ</t>
  </si>
  <si>
    <t>ADC</t>
  </si>
  <si>
    <t>"Õèéö-Óâñ" ÕÊ</t>
  </si>
  <si>
    <t>ÓÂÑ ÁÌ¯éëäâýð</t>
  </si>
  <si>
    <t>HII</t>
  </si>
  <si>
    <t>6,15,93</t>
  </si>
  <si>
    <t>"Æîíøèò òýýâýð"ÕÊ</t>
  </si>
  <si>
    <t>39-ð áààç</t>
  </si>
  <si>
    <t>TBE</t>
  </si>
  <si>
    <t>"Òóðóóí" ÕÊ</t>
  </si>
  <si>
    <t>TRN</t>
  </si>
  <si>
    <t xml:space="preserve">"Ìîíãîë ýä èìïåêñ" </t>
  </si>
  <si>
    <t>Ò¿¿õèé ýäèéí íýãäýë</t>
  </si>
  <si>
    <t>MED</t>
  </si>
  <si>
    <t>"Õàëõ áóóäàé" ÕÊ</t>
  </si>
  <si>
    <t>Äýâøèë,Áàÿëàã ÕÊ</t>
  </si>
  <si>
    <t>DDL</t>
  </si>
  <si>
    <t xml:space="preserve">        2 êîìïàíè íèéëñýí</t>
  </si>
  <si>
    <t>"Àòàð òºâ" ÕÊ</t>
  </si>
  <si>
    <t>Áàÿíõàíãàé, Àòàð ÑÀÀ</t>
  </si>
  <si>
    <t>ATA</t>
  </si>
  <si>
    <t>×èíãýëòýé ä¿¿ðãèéí 2002,02,28-148 òîîò øèéäâýð, Íèéñëýëèéí ø¿¿õèéí 2002,04,17-305 äóãààð ìàãàäëàë, Ìîíãîë óëñûí äýýä ø¿¿õèéí 2002,05,13 íû 3/1863 òîîò àëáàí áè÷èã,2003,07,30-íû ºäºð ÌÕÁ-ä èð¿¿ëñýí èðãýí Æàðãàëñàéõàíû ºðãºäºëèéã òóñ òóñ ¿íäñýëýí 2003,09,10-íû ºäºð á¿ðòãýëä ººð÷ëºëò îðóóëàâ.</t>
  </si>
  <si>
    <t>"Õàíãàéí öàðàì" ÕÊ</t>
  </si>
  <si>
    <t>Áóëãàí. Ìàãñàðæàâ ÑÀÀ</t>
  </si>
  <si>
    <t>NUL</t>
  </si>
  <si>
    <t>"Ã¿í ãàëóóò" ÕÊ</t>
  </si>
  <si>
    <t>Áàãà-Íóóð. õ¿íñ.¿éëäâýð</t>
  </si>
  <si>
    <t>GGL</t>
  </si>
  <si>
    <t>9,22,93</t>
  </si>
  <si>
    <t>"Óñ-Àðõàíãàé" ÕÊ</t>
  </si>
  <si>
    <t>Àðõ.Óñ.àæ àõ. êîíòîð</t>
  </si>
  <si>
    <t>UAR</t>
  </si>
  <si>
    <t>"Óãòààë Òºâ" ÕÊ</t>
  </si>
  <si>
    <t>Òºâ.Óãòààë ÑÀÀ</t>
  </si>
  <si>
    <t>UGT</t>
  </si>
  <si>
    <t xml:space="preserve"> (55126 ø+110253 ø)</t>
  </si>
  <si>
    <t>"Òàõèëãàò" ÕÊ</t>
  </si>
  <si>
    <t>Òàõèë, Ìºíõ-ªëçèéò</t>
  </si>
  <si>
    <t>THA</t>
  </si>
  <si>
    <t>"Øèíý-ªðãºº" ÕÊ</t>
  </si>
  <si>
    <t>Ýñãèéíèé ¿éëäâýð</t>
  </si>
  <si>
    <t>SNO</t>
  </si>
  <si>
    <t>"Íàëàéõ ªðãºº" ÕÊ</t>
  </si>
  <si>
    <t>Áàðèëãà óãñðàëò êîíòîð</t>
  </si>
  <si>
    <t>NLO</t>
  </si>
  <si>
    <t>5,11,94</t>
  </si>
  <si>
    <t>"Áàÿíõàí" ÕÊ</t>
  </si>
  <si>
    <t>Ýðýýíöàâ ÑÀÀ</t>
  </si>
  <si>
    <t>BNH</t>
  </si>
  <si>
    <t>"Æèìñò"ÕÊ</t>
  </si>
  <si>
    <t>Áàÿííóóð ÑÀÀ</t>
  </si>
  <si>
    <t>JMT</t>
  </si>
  <si>
    <t>"Ãîâü øàíä"ÕÊ</t>
  </si>
  <si>
    <t>Õ¿íñíèé ¿éëäâýð</t>
  </si>
  <si>
    <t>BRD</t>
  </si>
  <si>
    <t>"Öàãààííóóð"ÕÊ</t>
  </si>
  <si>
    <t>Öàãààíí.äàìæ.áààç</t>
  </si>
  <si>
    <t>TSN</t>
  </si>
  <si>
    <t>12,6,94</t>
  </si>
  <si>
    <t>"Àëòàí ¿ñýã" ÕÊ</t>
  </si>
  <si>
    <t>Õýâëýëèéí ¿éëäâýð</t>
  </si>
  <si>
    <t>AYG</t>
  </si>
  <si>
    <t>12,16,94</t>
  </si>
  <si>
    <t>"Õ¿íñ-Òºâ" ÕÊ</t>
  </si>
  <si>
    <t>HTO</t>
  </si>
  <si>
    <t>"Алтандуулга" ÕÊ</t>
  </si>
  <si>
    <t>Õàðõèðàà ñóì ÑÀÀ</t>
  </si>
  <si>
    <t>HRA</t>
  </si>
  <si>
    <t>4,18,95</t>
  </si>
  <si>
    <t>"Óíäðàì" ÕÊ</t>
  </si>
  <si>
    <t>Ìàòåðèàë õàíãàìæ</t>
  </si>
  <si>
    <t>UDR</t>
  </si>
  <si>
    <t>"Ç¿¿íõàðàà-ªðãºº" ÕÊ</t>
  </si>
  <si>
    <t>Áàðèëãà óãñðàëò</t>
  </si>
  <si>
    <t>ZNR</t>
  </si>
  <si>
    <t>5,15,95</t>
  </si>
  <si>
    <t>"×àíäãàí" ÕÊ</t>
  </si>
  <si>
    <t>×àíäãàíû ÑÀÀ</t>
  </si>
  <si>
    <t>CHA</t>
  </si>
  <si>
    <t xml:space="preserve">¯ÖÕ </t>
  </si>
  <si>
    <t xml:space="preserve">1993 îíû 11 òîîòîîð 1994 îíä á¿ðòãýâ. </t>
  </si>
  <si>
    <t>Ãåîëîãè, "Àëòàé" íýãäýë</t>
  </si>
  <si>
    <t>ASG</t>
  </si>
  <si>
    <t>5,31,2000</t>
  </si>
  <si>
    <t xml:space="preserve">Ñýðãýýãäýâ.¯ÖÕ-íû 2000 îíû 5,25-íû 21-íû òîîò òîîëîîð </t>
  </si>
  <si>
    <t>"Áàÿíáàäðàõ" ÕÊ</t>
  </si>
  <si>
    <t>Òºâ.Áàòñ¿ìáýð ÑÀÀ</t>
  </si>
  <si>
    <t>BBH</t>
  </si>
  <si>
    <t>9,15,92</t>
  </si>
  <si>
    <t>×èíãýëòýé ä¿¿ðãèéí 2002,02,28-148 òîîò øèéäâýð, Íèéñëýëèéí ø¿¿õèéí 2002,04,17-305 äóãààð ìàãàäëàë, Ìîíãîë óëñûí äýýä ø¿¿õèéí 2002,05,13 íû 3/1863 òîîò àëáàí áè÷èã,2003,07,30-íû ºäºð ÌÕÁ-ä èð¿¿ëñýí èðãýí Æàðãàëñàéõàíû ºðãºäºëèéã òóñ òóñ ¿íäñýëýí 2003,09,10-íû ºäºð á¿ðòãýëä ººð÷ëºëò îðóóëàâ.      2006-07-05-íû ÑÇÕ-íû 2/1255 òîîòîîð òºðèéí 73,309øèðõãéèã õóâüä øèëæ¿¿ëýâ.</t>
  </si>
  <si>
    <t>ÑÇÕ-íû 2013.11.6-íы 417 òîîò òîãòîîëоор 2013.12.16-нд ÌÕÁ-ýýñ /ГЗ-ийн 2013-12-16-ны 417 тоот тушаалаар/</t>
  </si>
  <si>
    <t>"Õýðýãëýý-èìïåêñ" ÕÊ</t>
  </si>
  <si>
    <t>"Õýðýãëýý-èìïåêñ"</t>
  </si>
  <si>
    <t>2013.12.16</t>
  </si>
  <si>
    <t>HIE</t>
  </si>
  <si>
    <t>СЗХ-ны 2013.12.12-ны 500 тоот МХБ ГЗ-ийн 2014.01.14-ны 14 тоот тушаал</t>
  </si>
  <si>
    <t>"Òîðãîí ¿ð" ÕÊ</t>
  </si>
  <si>
    <t>Äàðõàí ÑÀÀ</t>
  </si>
  <si>
    <t>IBU</t>
  </si>
  <si>
    <t>4,27,94</t>
  </si>
  <si>
    <t>"Äîðíîä íîîñ" ÕÊ</t>
  </si>
  <si>
    <t>Äîðíîä Íîîñ óã/¿éëäâýð</t>
  </si>
  <si>
    <t>DNU</t>
  </si>
  <si>
    <t>12,1,93</t>
  </si>
  <si>
    <t>"Àëòàé Õàí.ìàòåð."ÕÊ</t>
  </si>
  <si>
    <t>Õîâä, Õàí.ìàò.¿éëäâýð</t>
  </si>
  <si>
    <t>AHM</t>
  </si>
  <si>
    <t>"Äàð çàì" ÕÊ</t>
  </si>
  <si>
    <t>Àâòî çàì áàðèõ</t>
  </si>
  <si>
    <t>DRZ</t>
  </si>
  <si>
    <t>3,8,95</t>
  </si>
  <si>
    <t>"Ìàíäàë Îðãèë" ÕÊ</t>
  </si>
  <si>
    <t>Ç¿¿íõàð.Îé ìîä ¿éëäâýð</t>
  </si>
  <si>
    <t>OZH</t>
  </si>
  <si>
    <t>Ñýëýíãý àéìãèéí ªÕÊ-èéí 1992 îíû 24-ð òîãòîîëîîð ÌÕÁ-ä á¿ðòãýâ</t>
  </si>
  <si>
    <t>"Óëáàà" ÕÊ</t>
  </si>
  <si>
    <t>Çàâõàí Çàì áàð.àøèã.àíãè</t>
  </si>
  <si>
    <t>ULB</t>
  </si>
  <si>
    <t>2003,04,25-21 òîîò ¯ÖÕ-íû 21 òîîò òîãòîîëûã ¿íäýñëýæ 2003,05,28-íä ººð÷ëºëò îðóóëàâ.</t>
  </si>
  <si>
    <t>"Ñ¿ìáýð -ªëçèé" ÕÊ</t>
  </si>
  <si>
    <t>SUO</t>
  </si>
  <si>
    <t>2,4,92</t>
  </si>
  <si>
    <t>"Òýýâýð-Òºâ"ÕÊ</t>
  </si>
  <si>
    <t>Àéìãèéí ÒÓÃ</t>
  </si>
  <si>
    <t>TEV</t>
  </si>
  <si>
    <t>105974 òºðä ÒÒÕÀ</t>
  </si>
  <si>
    <t>"Ãîâü ñ¿ìáýð"ÕÊ</t>
  </si>
  <si>
    <t>Êàðàêóëèéí ¯ÀÀ</t>
  </si>
  <si>
    <t>GOS</t>
  </si>
  <si>
    <t>2002,03,28</t>
  </si>
  <si>
    <t>"Óëààí õîòãîð" ÕÊ</t>
  </si>
  <si>
    <t>Õàðõèðàà ÒÀÀ</t>
  </si>
  <si>
    <t>ULH</t>
  </si>
  <si>
    <t>5,23,94</t>
  </si>
  <si>
    <t>21357òºðä òòõà</t>
  </si>
  <si>
    <t>"Æèí÷èí"  ÕÊ</t>
  </si>
  <si>
    <t>Àâòî òýýâýð 23-ð áààç</t>
  </si>
  <si>
    <t>JNN</t>
  </si>
  <si>
    <t>"Àðèëæàà " ÕÊ</t>
  </si>
  <si>
    <t>Ìàòåðèàë òåõ.õàíãàìæ</t>
  </si>
  <si>
    <t>ARI</t>
  </si>
  <si>
    <t>СЗХ-ны 2013.12.18-ны 546 тоот МХБ ГЗ-ийн 2014.01.24-ны 23 тоот тушаал</t>
  </si>
  <si>
    <t>"Õîðîë-Ýðäýíý" ÕÊ</t>
  </si>
  <si>
    <t>Áàãàíóóð,ÌÒÕÊîíòîð</t>
  </si>
  <si>
    <t>2014.01.24</t>
  </si>
  <si>
    <t>MTS</t>
  </si>
  <si>
    <t>1992-51 òîîòîîð ÌÕÁ-ä 1992-07-22-íä á¿ðòãýâ.</t>
  </si>
  <si>
    <t>СЗХ-ны 2014.4.9-ны 113 тоот МХБ ГЗ-ийн 2014.05.09-ны 65 тоот тушаал</t>
  </si>
  <si>
    <t>"Äàðõàí-Èìïýêñ" ÕÊ</t>
  </si>
  <si>
    <t>Äàðõàí ÌÒÕÓÃàçàð</t>
  </si>
  <si>
    <t>2014.05.09</t>
  </si>
  <si>
    <t>DRI</t>
  </si>
  <si>
    <t>9,9,93</t>
  </si>
  <si>
    <t>СЗХ-ны 2014.5.21-ны 172 тоот МХБ ГЗ-ийн 2014.06.13-ны 87 тоот тушаал</t>
  </si>
  <si>
    <t>"Òýãø" ÕÊ</t>
  </si>
  <si>
    <t>Õààëãà öîíõíû ¿éëäâýð</t>
  </si>
  <si>
    <t>2014.06.13</t>
  </si>
  <si>
    <t>HAL</t>
  </si>
  <si>
    <t>СЗХ-ны 2014.5.21-ны 176 тоот МХБ ГЗ-ийн 2014.07.21-ны 107 тоот тушаал</t>
  </si>
  <si>
    <t>"Àëòàí òàðèà" ÕÊ</t>
  </si>
  <si>
    <t>ÓÁ ãóðèëûí êîìáèíàò</t>
  </si>
  <si>
    <t>2014.07.21</t>
  </si>
  <si>
    <t>ALT</t>
  </si>
  <si>
    <t>3,31,92</t>
  </si>
  <si>
    <t>32,58 Jan Brabec</t>
  </si>
  <si>
    <t xml:space="preserve">       ×åõ</t>
  </si>
  <si>
    <t>СЗХ-ны 2014.7.7-ны 271 тоот МХБ ГЗ-ийн 2014.09.4-ний 138 тоот тушаал</t>
  </si>
  <si>
    <t>"ªãººìºð óóë" ÕÊ</t>
  </si>
  <si>
    <t>Òºâ Áàð.ìàò.¿éëäâýð</t>
  </si>
  <si>
    <t>2014.09.04</t>
  </si>
  <si>
    <t>OZM</t>
  </si>
  <si>
    <t>11,14 Yujiro Japan</t>
  </si>
  <si>
    <t>СЗХ-ны 2014.6.11-ны 201 тоот МХБ ГЗ-ийн 2014.10.3-ний 154 тоот тушаал</t>
  </si>
  <si>
    <t>"Îðõîíáóëàã" ÕÊ</t>
  </si>
  <si>
    <t>Îðõîí Òóóë ÑÀÀ</t>
  </si>
  <si>
    <t>2014.10.03</t>
  </si>
  <si>
    <t>OTL</t>
  </si>
  <si>
    <t>4,5,94</t>
  </si>
  <si>
    <t>СЗХ-ны 2014.10.21-ний 376 тоот МХБ ГЗ-ийн 2014.11.24-ний 190 тоот тушаал</t>
  </si>
  <si>
    <t>"Óëààíáààòàð ÇÁ" ÕÊ</t>
  </si>
  <si>
    <t>Óëààíáààòàð ÇÁ</t>
  </si>
  <si>
    <t>2014.11.24</t>
  </si>
  <si>
    <t>ULN</t>
  </si>
  <si>
    <t>СЗХ-ны 2014.10.21-ний 375 тоот МХБ ГЗ-ийн 2014.11.24-ний 191 тоот тушаал</t>
  </si>
  <si>
    <t>"ÐÈÍ"ÕÊ</t>
  </si>
  <si>
    <t>ÒÁÁÈÕÍ</t>
  </si>
  <si>
    <t>RIN</t>
  </si>
  <si>
    <t>Òªì÷ çàðàãäñàí.</t>
  </si>
  <si>
    <t>"Ìîíåë" ÕÊ</t>
  </si>
  <si>
    <t>"Ìîíýë" ôèðì</t>
  </si>
  <si>
    <t>MEL</t>
  </si>
  <si>
    <t>8,10,94</t>
  </si>
  <si>
    <t>"ÖàÑÒÓ" ÕÊ</t>
  </si>
  <si>
    <t>ÖÑÓÍÒ</t>
  </si>
  <si>
    <t>CSU</t>
  </si>
  <si>
    <t>"×èìáàé" ÕÊ</t>
  </si>
  <si>
    <t>Ñàâõèí æèæèã ýäëýë.¿éëä</t>
  </si>
  <si>
    <t>CHI</t>
  </si>
  <si>
    <t>"Òóóë áàÿí" ÕÊ</t>
  </si>
  <si>
    <t>Íîãîîíû êîìáèíàòûí 1-ð àæ àõóé</t>
  </si>
  <si>
    <t>BNT</t>
  </si>
  <si>
    <t>"Ìîäëîã" ÕÊ</t>
  </si>
  <si>
    <t>Áàðèëãûí ìàò. ¿éëäâýð</t>
  </si>
  <si>
    <t>DLM</t>
  </si>
  <si>
    <t>12,17,92</t>
  </si>
  <si>
    <t>СЗХ-ны 2014.10.08-ны 355 тоот МХБ ГЗ-ийн 2015.05.08-ны 137 тоот тушаал</t>
  </si>
  <si>
    <t>"Õÿëãàíàò" ÕÊ</t>
  </si>
  <si>
    <t>Õÿëã. îé ìîä. ¿éëäâýð</t>
  </si>
  <si>
    <t>2015.05.08</t>
  </si>
  <si>
    <t>HLG</t>
  </si>
  <si>
    <t>ÑÇÕ-íû 2007-02-02-íû 15 òîîòîîð ÌÕÁ-ä 2007-04-25-íä ººð÷ëºëò îðîâ. 50:1 õàðèöààãààð íýãòãýí, íýãæèéí ¿íèéã 5000 áîëãîод нийт хувьцааны тоо нь 10113 болоâ.</t>
  </si>
  <si>
    <t>СЗХ-ны 2015.06.24-ний 287 тоот МХБ ГЗ-ийн 2015.07.23-ны 217 тоот тушаал</t>
  </si>
  <si>
    <t>"Ìîíãîëûí ãýãýý" ÕÊ</t>
  </si>
  <si>
    <t>Ãåîë.ãåîôèç.ýðë.íýãäýë</t>
  </si>
  <si>
    <t>2015.07.23</t>
  </si>
  <si>
    <t>GGE</t>
  </si>
  <si>
    <t>СЗХ-ны 2015.07.10-ны өдрийн 329 тоот ГЗ-ын 2015.08.12-ны 233 тоот тушаал</t>
  </si>
  <si>
    <t>"Азиапасифик пропертис" ÕÊ</t>
  </si>
  <si>
    <t>2015.08.12</t>
  </si>
  <si>
    <t>APP</t>
  </si>
  <si>
    <t>CЗХ-ны 2015.07.03-ны өдрийн 309 тоот тогтоол, ГЗ-ын 2015.10.13-ны 301 тоот тушаал</t>
  </si>
  <si>
    <t>"Ìîíãîë ìàõ ýêñïî" ÕÊ</t>
  </si>
  <si>
    <t>Íîãîîíû õàäãàëàìæèéí 5-ð àæ àõóé</t>
  </si>
  <si>
    <t>2015.10.13</t>
  </si>
  <si>
    <t>DLG</t>
  </si>
  <si>
    <t>12,5,92</t>
  </si>
  <si>
    <t>2002 îíä íýð ººð÷ëºãäñºí.</t>
  </si>
  <si>
    <t>CЗХ-ны 2015.07.03-ны өдрийн 310 тоот тогтоол, ГЗ-ын 2015.11.25-ны 348 тоот тушаал</t>
  </si>
  <si>
    <t>"Áèøðýëò èíäàñòðèaë"ÕÊ</t>
  </si>
  <si>
    <t>Õ¿¿õä.õóâö. 1-ð ¿éëäâýð</t>
  </si>
  <si>
    <t>2015.11.25</t>
  </si>
  <si>
    <t>HHC</t>
  </si>
  <si>
    <t>2,10,93</t>
  </si>
  <si>
    <t>ÕÝÕ</t>
  </si>
  <si>
    <t>CЗХ-ны 2012.11.07-ны өдрийн 323 дугаар тогтоол, ГЗ-ын 2016.06.22-ны 240 тоот тушаал</t>
  </si>
  <si>
    <t>"Àýðîãåîäåçè" ÕÊ</t>
  </si>
  <si>
    <t>Ãåîäåçè çóðàã ç¿é</t>
  </si>
  <si>
    <t>2016.06.22</t>
  </si>
  <si>
    <t>ARG</t>
  </si>
  <si>
    <t>2003,02,12-íä á¿ðòãýâ.</t>
  </si>
  <si>
    <t>CЗХ-ны 2015.11.24-ний өдрийн 404 дугаар тогтоол, ГЗ-ын 2016.06.22-ны 240 тоот тушаал</t>
  </si>
  <si>
    <t>"Ãàí òýýðýì" ÕÊ</t>
  </si>
  <si>
    <t>Õàðõ/ Ãóð.òýæ.êîìáèíàò</t>
  </si>
  <si>
    <t>GTR</t>
  </si>
  <si>
    <t>12,21,93</t>
  </si>
  <si>
    <t>ÒªÕ-2003,602 òîîò òîãòîîëîîð 2004,01,09-íä ÓÁ õîòîä íèéòèéí äóóäëàãà õóäàëäààãààð õóäàëäàíà.</t>
  </si>
  <si>
    <t>CЗХ-ны 2015.11.23-ны өдрийн 384 дугаар тогтоол, ГЗ-ын 2016.06.22-ны 240 тоот тушаал</t>
  </si>
  <si>
    <t>"Áóóäàéí öàöàë" ÕÊ</t>
  </si>
  <si>
    <t>Ãóðèë òýæýýë.êîìáèíàò</t>
  </si>
  <si>
    <t>CCA</t>
  </si>
  <si>
    <t>CЗХ-ны 2015.05.20-ны өдрийн 256 дугаар тогтоол, ГЗ-ын 2016.06.22-ны 240 тоот тушаал</t>
  </si>
  <si>
    <t>"Äîðíîä õ¿íñ" ÕÊ</t>
  </si>
  <si>
    <t>Äîðíîä Õ¿íñ.êîìáèíàò</t>
  </si>
  <si>
    <t>DHS</t>
  </si>
  <si>
    <t>CЗХ-ны 2013.08.14-ний өдрийн 277 дугаар тогтоол, ГЗ-ын 2016.06.22-ны 240 тоот тушаал</t>
  </si>
  <si>
    <t>"Øèíý÷ëýë èíâåñò" ÕÊ</t>
  </si>
  <si>
    <t>ÓÁ  ÁÇÍÒðåñò</t>
  </si>
  <si>
    <t>SCL</t>
  </si>
  <si>
    <t>CЗХ-ны 2014.06.11-ний өдрийн 217 дугаар тогтоол, ГЗ-ын 2016.06.22-ны 240 тоот тушаал</t>
  </si>
  <si>
    <t>"Ìîíñàâ" ÕÊ</t>
  </si>
  <si>
    <t>Ñàâ áàãëàà áîîä íýãäýë</t>
  </si>
  <si>
    <t>MSV</t>
  </si>
  <si>
    <t>3,27,92</t>
  </si>
  <si>
    <t>Монголын хөрөнгийн биржийн 2016 оны 07 сарын 05-ны 250 дугаар тушаалаар үнэт цаасыг бүртгэлээс хассан.</t>
  </si>
  <si>
    <t>2016.07.05</t>
  </si>
  <si>
    <t>2005.09.05-íä á¿ðòãýâ.</t>
  </si>
  <si>
    <t>Монголын хөрөнгийн биржийн 2016 оны 07 сарын 25-ны 275 дугаар тушаалаар үнэт цаасыг бүртгэлээс хассан.</t>
  </si>
  <si>
    <t>"Óðàí áàðèëãà"ÕÊ</t>
  </si>
  <si>
    <t>Ò¿¿õ.ñî¸ë.äóðñ.ñýð.ãàç</t>
  </si>
  <si>
    <t>2016.07.25</t>
  </si>
  <si>
    <t>UBA</t>
  </si>
  <si>
    <t>СЗХ-ны 2016.09.21-ний өдрийн 267 дугаар тогтоол, Монголын хөрөнгийн биржийн ГЗ-ийн 2016 оны 10 сарын 07-ны 374 дугаар тушаалаар үнэт цаасыг бүртгэлээс хассан.</t>
  </si>
  <si>
    <t>"Ай түүлс" ХК</t>
  </si>
  <si>
    <t>2016.10.07</t>
  </si>
  <si>
    <t>Монголын хөрөнгийн биржийн 2017 оны 01 сарын 25-ны А-10 дугаар тушаалаар үнэт цаасыг бүртгэлээс хассан.</t>
  </si>
  <si>
    <t>"Óíäàðãà-ªìíºãîâü"</t>
  </si>
  <si>
    <t>ªÃ, Óñíû ÀÀÊîíòîð</t>
  </si>
  <si>
    <t>2017.01.25</t>
  </si>
  <si>
    <t>UND</t>
  </si>
  <si>
    <t>Монголын хөрөнгийн биржийн 2017 оны 03 сарын 14-ний А-58 дугаар тушаалаар үнэт цаасыг бүртгэлээс хассан.</t>
  </si>
  <si>
    <t>"Баянтолгой" ХК</t>
  </si>
  <si>
    <t>Òºìñ õ¿íñíèé íîãîî, ñ¿¿</t>
  </si>
  <si>
    <t>2017.03.14</t>
  </si>
  <si>
    <t>BAL</t>
  </si>
  <si>
    <t>"Завхан тээвэр" ХК</t>
  </si>
  <si>
    <t>Àâòî òýýâýð 20-ð áààç</t>
  </si>
  <si>
    <t>ZVH</t>
  </si>
  <si>
    <t>"Завхан тээг" ХК</t>
  </si>
  <si>
    <t>20-ð àâòî áààç</t>
  </si>
  <si>
    <t>ORG</t>
  </si>
  <si>
    <t>"Гантөмөрт" ХК</t>
  </si>
  <si>
    <t>Çàâõàí. Îé ìîä. Êîìáèíàò</t>
  </si>
  <si>
    <t>DLA</t>
  </si>
  <si>
    <t>8,17,92</t>
  </si>
  <si>
    <t>"Монгол эсгий, эсгий гутал" ХК</t>
  </si>
  <si>
    <t>ÝÝÃ¯éëäâýð-2</t>
  </si>
  <si>
    <t>MEG</t>
  </si>
  <si>
    <t>"Оргил Говь-Алтай" ХК</t>
  </si>
  <si>
    <t>Ãóóëèí, Óñë.ñèñòåì</t>
  </si>
  <si>
    <t>ORI</t>
  </si>
  <si>
    <t>"Улиастай тэгш" ХК</t>
  </si>
  <si>
    <t>ªÕÁ-û Óëèàñòàé. Ê</t>
  </si>
  <si>
    <t>LJA</t>
  </si>
  <si>
    <t>11,16,94</t>
  </si>
  <si>
    <t>Монголын хөрөнгийн биржийн 2017 оны 08 сарын 16-ны А-147 дугаар тушаал, СЗХ-ны 2018.08.29-ний 288 mоот тогтоолоор аар үнэт цаасыг бүртгэлээс хассан.</t>
  </si>
  <si>
    <t>"Зоос гоёл" ХК</t>
  </si>
  <si>
    <t>Çîîñ ãî¸ëûí ç¿éëèéí ¿éëä</t>
  </si>
  <si>
    <t>2017.08.16</t>
  </si>
  <si>
    <t>ZOO</t>
  </si>
  <si>
    <t>Монголын хөрөнгийн биржийн 2017 оны 10 сарын 24-ны А-200 дугаар тушаалаар үнэт цаасыг бүртгэлээс хассан.</t>
  </si>
  <si>
    <t>"Буян" ХК</t>
  </si>
  <si>
    <t>Õî.Õ¿íñíèé ¿éëäâýð</t>
  </si>
  <si>
    <t>2017.10.24</t>
  </si>
  <si>
    <t>BYN</t>
  </si>
  <si>
    <t>6,29,92</t>
  </si>
  <si>
    <t>Монголын хөрөнгийн биржийн 2017 оны 11 сарын 30-ны А-211 дугаар тушаалаар үнэт цаасыг бүртгэлээс хассан.</t>
  </si>
  <si>
    <t>"Машин механизм" ХК</t>
  </si>
  <si>
    <t>Áàð.ìàøèí ìåõàíèçì.áààç</t>
  </si>
  <si>
    <t>2017.11.30</t>
  </si>
  <si>
    <t>MMH</t>
  </si>
  <si>
    <t>3,30,92</t>
  </si>
  <si>
    <t>Монголын хөрөнгийн биржийн 2018 оны 02 сарын 12-ны А-16 дугаар тушаал, СЗХ-ны 2018.05.23-ны 182 mоот тогтоолоор үнэт цаасыг бүртгэлээс хассан.</t>
  </si>
  <si>
    <t>"Монгол шир" ХК</t>
  </si>
  <si>
    <t>Óëíû øèðíèé ¿éëäâýð</t>
  </si>
  <si>
    <t>2018.02.12</t>
  </si>
  <si>
    <t>MSR</t>
  </si>
  <si>
    <t>Монголын хөрөнгийн биржийн 2018 оны 11 сарын 16-ны А-126 дугаар тушаалаар үнэт цаасыг бүртгэлээс хассан.</t>
  </si>
  <si>
    <t>"Усжуулах" ХК</t>
  </si>
  <si>
    <t>Óâñ Áàðóóíòóð. ÑÀÀ</t>
  </si>
  <si>
    <t>CMD</t>
  </si>
  <si>
    <t>1993,07,20</t>
  </si>
  <si>
    <t>98,10,23-739òîîò 2002,03ñàð</t>
  </si>
  <si>
    <t>Монголын хөрөнгийн биржийн 2018 оны 12 сарын 19-ний А-139 дүгээр тушаалаар үнэт цаасыг бүртгэлээс хассан.</t>
  </si>
  <si>
    <t>"АЗЗАН" ХК</t>
  </si>
  <si>
    <t>Àâòî çàì çàñâàð àð÷ëàëòûí íýãäýл</t>
  </si>
  <si>
    <t>AZZ</t>
  </si>
  <si>
    <t>3,01,2000</t>
  </si>
  <si>
    <t>"Дархан мах-экспо" ХК</t>
  </si>
  <si>
    <t>Äàðõàí ìàõ êîìáèíàò</t>
  </si>
  <si>
    <t>HSH</t>
  </si>
  <si>
    <t>7,29,92</t>
  </si>
  <si>
    <t>ÇÃ-ûí ªÕÊ-ûí 1992-19 òîîòîîð ÌÕÁ-ä 1992-06-16-ãä á¿ðòãýâ.</t>
  </si>
  <si>
    <t>"Ажлын хувцас" ХК</t>
  </si>
  <si>
    <t>Î¸äîëûí ¿éëäâýð</t>
  </si>
  <si>
    <t>ERD</t>
  </si>
  <si>
    <t>"Бэрэн майнинг" ХК</t>
  </si>
  <si>
    <t>Ашигт малтмал ашиглах, хайгуул хийх</t>
  </si>
  <si>
    <t>BRM</t>
  </si>
  <si>
    <t>"Эвлэл" ХК</t>
  </si>
  <si>
    <t>Õîâä óñíû à/à êîíòîð</t>
  </si>
  <si>
    <t>JRG</t>
  </si>
  <si>
    <t>7,10,92</t>
  </si>
  <si>
    <t>Монголын хөрөнгийн биржийн 2019 оны 03 сарын 05-ний А/20 дүгээр тушаалаар үнэт цаасыг бүртгэлээс хассан.</t>
  </si>
  <si>
    <t>"Сав шим" ХК</t>
  </si>
  <si>
    <t>GTU</t>
  </si>
  <si>
    <t>6,20,94</t>
  </si>
  <si>
    <t>"Алмаас" ХК</t>
  </si>
  <si>
    <t>Ãåî.øèíæ."ÓÁ"íýãäýë</t>
  </si>
  <si>
    <t>ALM</t>
  </si>
  <si>
    <t>"Ар тархи" ХК</t>
  </si>
  <si>
    <t>Òàðèàëàíãèéí ÑÀÀ</t>
  </si>
  <si>
    <t>ART</t>
  </si>
  <si>
    <t>"Баялаг шарын гол" ХК</t>
  </si>
  <si>
    <t>Øàðûí ãîë.Mîä.¿éëäâýð</t>
  </si>
  <si>
    <t>BLS</t>
  </si>
  <si>
    <t>12,20,92</t>
  </si>
  <si>
    <t>"Баянтоорой" ХК</t>
  </si>
  <si>
    <t>Áàÿíòîîðîéí ÒÀÀ</t>
  </si>
  <si>
    <t>BTR</t>
  </si>
  <si>
    <t>4,27,93</t>
  </si>
  <si>
    <t>"Бүтээл" ХК</t>
  </si>
  <si>
    <t>Áóÿíòûí ÒÀÀ</t>
  </si>
  <si>
    <t>BUT</t>
  </si>
  <si>
    <t>"Дорнод тээвэр" ХК</t>
  </si>
  <si>
    <t>Øàòàõóóí òýýâ.áààç</t>
  </si>
  <si>
    <t>DOT</t>
  </si>
  <si>
    <t>"Еврофё Азиа" ХК</t>
  </si>
  <si>
    <t>ÓÁ, áýëòãýë êîíòîð</t>
  </si>
  <si>
    <t>SOI</t>
  </si>
  <si>
    <t>4,9,92</t>
  </si>
  <si>
    <t>2005.5.23-íä ÕÊ-èéí íýðèéã ººð÷ëºâ.</t>
  </si>
  <si>
    <t>"Жинст" ХК</t>
  </si>
  <si>
    <t>JST</t>
  </si>
  <si>
    <t>"Их нуур" ХК</t>
  </si>
  <si>
    <t>Óâñ.Óñíû à/à òðåñò</t>
  </si>
  <si>
    <t>IHN</t>
  </si>
  <si>
    <t>"Их үүсгэл" ХК</t>
  </si>
  <si>
    <t>Áàð.èíæ.õàéãóóë.èíñòèòóò</t>
  </si>
  <si>
    <t>IHU</t>
  </si>
  <si>
    <t>10,30,92</t>
  </si>
  <si>
    <t>"Мөнх жим" ХК</t>
  </si>
  <si>
    <t>Óâñ.Çàì áàð.àø.òðåñò</t>
  </si>
  <si>
    <t>AZA</t>
  </si>
  <si>
    <t>8,4,92</t>
  </si>
  <si>
    <t>"Мон-Асар" ХК</t>
  </si>
  <si>
    <t>ÓÁ¯ íýãòãýë</t>
  </si>
  <si>
    <t>ASA</t>
  </si>
  <si>
    <t>7,23,92</t>
  </si>
  <si>
    <t>"Өв-Усжуулагч"  ХК</t>
  </si>
  <si>
    <t>UAA</t>
  </si>
  <si>
    <t>6,18,92</t>
  </si>
  <si>
    <t>"Сэлэнгэ импекс" ХК</t>
  </si>
  <si>
    <t>Ñýëýíãý ÌÒÕÓÃ</t>
  </si>
  <si>
    <t>SEM</t>
  </si>
  <si>
    <t>1,8,95</t>
  </si>
  <si>
    <t>"Төв Ус" ХК</t>
  </si>
  <si>
    <t>Óñíû à/à óäèðäàõ ãàçàð</t>
  </si>
  <si>
    <t>UST</t>
  </si>
  <si>
    <t>6,3,94</t>
  </si>
  <si>
    <t>50881 ø-ã 2003,7,3-íä</t>
  </si>
  <si>
    <t>19,2 õóâü áóþó 30607 øèðõýã õóâüöààã 2004,01,19-íä ººð÷ëºëò îðóóëàâ.</t>
  </si>
  <si>
    <t>"Хангал" ХК</t>
  </si>
  <si>
    <t>Õýíòèé Õ¿íñ.¿éëäâýð</t>
  </si>
  <si>
    <t>HGL</t>
  </si>
  <si>
    <t>11,1,93</t>
  </si>
  <si>
    <t>"Харгиа" ХК</t>
  </si>
  <si>
    <t>"Õàðãèà" ï¿¿ñ</t>
  </si>
  <si>
    <t>HAG</t>
  </si>
  <si>
    <t>"Харшийн гэгээ" ХК</t>
  </si>
  <si>
    <t>ÁÓãñðàëòûí òðåñò</t>
  </si>
  <si>
    <t>AVH</t>
  </si>
  <si>
    <t>"Àâ õàéðõàí"-òàé íýãäñýí</t>
  </si>
  <si>
    <t>"Чандмань уул" ХК</t>
  </si>
  <si>
    <t>Áàÿí÷àíäìàíü Óðãàö ï¿¿ñ</t>
  </si>
  <si>
    <t>CAD</t>
  </si>
  <si>
    <t xml:space="preserve">"Чандмань Дундговь" ХК </t>
  </si>
  <si>
    <t>Äóíäãîâü ÓÀÀÊîíòîð</t>
  </si>
  <si>
    <t>CDU</t>
  </si>
  <si>
    <t>8,20,93</t>
  </si>
  <si>
    <t>Монголын хөрөнгийн биржийн 2019 оны 05 сарын 28-ний А/39 дугаар тушаалаар үнэт цаасыг бүртгэлээс хассан.</t>
  </si>
  <si>
    <t>"Баялаг Налайх" ХК</t>
  </si>
  <si>
    <t>Óóðõàéí áàð. òðåñò</t>
  </si>
  <si>
    <t>BNB</t>
  </si>
  <si>
    <t>3,4,94</t>
  </si>
  <si>
    <t>,</t>
  </si>
  <si>
    <t xml:space="preserve">"Эм Эн Ди" ХК </t>
  </si>
  <si>
    <t>"Хөтөлийн цемент шохой" ХК</t>
  </si>
  <si>
    <t>"Мон Ит Булигаар" ХК</t>
  </si>
  <si>
    <t>Жич: МХБ-д бүртгэлтэй нийт 198 компаниас 2019 оны хагас жилийн санхүүгийн тайлангаа 88.3 %  нь буюу 176 ХК нь  Сангийн яамны и-балансад шивсэнийг нэгтгэв. Дээрх 176 компаниас 40.3 % нь буюу 71 ХК ашигтай, 16.5% нь буюу 29 ХК ашиг, алдагдалгүй   43.2% нь буюу 76 ХК алдагдалтай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</si>
</sst>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_-* #,##0\ _£_-;\-* #,##0\ _£_-;_-* &quot;-&quot;??\ _£_-;_-@_-"/>
    <numFmt numFmtId="168" formatCode="0.0"/>
    <numFmt numFmtId="169" formatCode="[$-F800]dddd\,\ mmmm\ dd\,\ yyyy"/>
    <numFmt numFmtId="170" formatCode="_(* #,##0.0_);_(* \(#,##0.0\);_(* &quot;-&quot;??_);_(@_)"/>
    <numFmt numFmtId="171" formatCode="_-* #,##0.00\ _£_-;\-* #,##0.00\ _£_-;_-* &quot;-&quot;??\ _£_-;_-@_-"/>
    <numFmt numFmtId="172" formatCode="0.000"/>
    <numFmt numFmtId="173" formatCode="_-* #,##0.0\ _£_-;\-* #,##0.0\ _£_-;_-* &quot;-&quot;\ _£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</font>
    <font>
      <b/>
      <sz val="9"/>
      <name val="Arial Mon"/>
      <family val="2"/>
    </font>
    <font>
      <sz val="9"/>
      <name val="Arial Mon"/>
      <family val="2"/>
    </font>
    <font>
      <sz val="9"/>
      <color rgb="FFFF0000"/>
      <name val="Arial Mon"/>
      <family val="2"/>
    </font>
    <font>
      <sz val="9"/>
      <color indexed="10"/>
      <name val="Arial Mon"/>
      <family val="2"/>
    </font>
    <font>
      <sz val="9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imes New Roman Mo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356">
    <xf numFmtId="0" fontId="0" fillId="0" borderId="0" xfId="0"/>
    <xf numFmtId="1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164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/>
    <xf numFmtId="0" fontId="5" fillId="0" borderId="0" xfId="0" applyFont="1" applyFill="1" applyBorder="1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right"/>
    </xf>
    <xf numFmtId="0" fontId="6" fillId="0" borderId="0" xfId="0" applyFont="1" applyFill="1" applyBorder="1"/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/>
    <xf numFmtId="43" fontId="8" fillId="2" borderId="6" xfId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2" fontId="7" fillId="2" borderId="6" xfId="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8" applyFont="1" applyFill="1" applyAlignment="1">
      <alignment horizontal="center"/>
    </xf>
    <xf numFmtId="0" fontId="11" fillId="0" borderId="0" xfId="8" applyFont="1" applyFill="1"/>
    <xf numFmtId="14" fontId="11" fillId="0" borderId="0" xfId="8" applyNumberFormat="1" applyFont="1" applyFill="1"/>
    <xf numFmtId="164" fontId="11" fillId="0" borderId="0" xfId="9" applyNumberFormat="1" applyFont="1" applyFill="1" applyAlignment="1">
      <alignment vertical="justify"/>
    </xf>
    <xf numFmtId="0" fontId="12" fillId="0" borderId="0" xfId="8" applyFont="1" applyFill="1" applyAlignment="1">
      <alignment horizontal="center"/>
    </xf>
    <xf numFmtId="0" fontId="12" fillId="0" borderId="0" xfId="8" applyFont="1" applyFill="1"/>
    <xf numFmtId="165" fontId="12" fillId="0" borderId="0" xfId="8" applyNumberFormat="1" applyFont="1" applyFill="1"/>
    <xf numFmtId="43" fontId="12" fillId="0" borderId="0" xfId="9" applyFont="1" applyFill="1"/>
    <xf numFmtId="164" fontId="12" fillId="0" borderId="0" xfId="9" applyNumberFormat="1" applyFont="1" applyFill="1" applyAlignment="1">
      <alignment vertical="justify"/>
    </xf>
    <xf numFmtId="0" fontId="13" fillId="0" borderId="0" xfId="8" applyFont="1" applyFill="1"/>
    <xf numFmtId="0" fontId="12" fillId="0" borderId="0" xfId="8" applyFont="1" applyFill="1" applyAlignment="1">
      <alignment horizontal="right"/>
    </xf>
    <xf numFmtId="14" fontId="12" fillId="0" borderId="0" xfId="8" applyNumberFormat="1" applyFont="1" applyFill="1"/>
    <xf numFmtId="14" fontId="12" fillId="0" borderId="0" xfId="9" applyNumberFormat="1" applyFont="1" applyFill="1" applyAlignment="1">
      <alignment vertical="justify"/>
    </xf>
    <xf numFmtId="0" fontId="13" fillId="0" borderId="0" xfId="8" applyFont="1" applyFill="1" applyBorder="1"/>
    <xf numFmtId="165" fontId="12" fillId="0" borderId="6" xfId="8" applyNumberFormat="1" applyFont="1" applyFill="1" applyBorder="1" applyAlignment="1">
      <alignment horizontal="center" vertical="center" wrapText="1"/>
    </xf>
    <xf numFmtId="0" fontId="13" fillId="0" borderId="9" xfId="8" applyFont="1" applyFill="1" applyBorder="1" applyAlignment="1">
      <alignment horizontal="center" wrapText="1"/>
    </xf>
    <xf numFmtId="0" fontId="13" fillId="0" borderId="6" xfId="8" applyFont="1" applyFill="1" applyBorder="1" applyAlignment="1">
      <alignment horizontal="center" vertical="center" textRotation="90" wrapText="1"/>
    </xf>
    <xf numFmtId="0" fontId="13" fillId="0" borderId="6" xfId="8" applyFont="1" applyFill="1" applyBorder="1" applyAlignment="1">
      <alignment horizontal="center" wrapText="1"/>
    </xf>
    <xf numFmtId="0" fontId="13" fillId="0" borderId="7" xfId="8" applyFont="1" applyFill="1" applyBorder="1" applyAlignment="1">
      <alignment vertical="center" wrapText="1"/>
    </xf>
    <xf numFmtId="0" fontId="13" fillId="0" borderId="6" xfId="8" applyFont="1" applyFill="1" applyBorder="1" applyAlignment="1">
      <alignment horizontal="center" vertical="center" wrapText="1"/>
    </xf>
    <xf numFmtId="0" fontId="13" fillId="0" borderId="6" xfId="8" applyFont="1" applyFill="1" applyBorder="1" applyAlignment="1">
      <alignment vertical="center" wrapText="1"/>
    </xf>
    <xf numFmtId="0" fontId="13" fillId="0" borderId="8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vertical="center" wrapText="1"/>
    </xf>
    <xf numFmtId="0" fontId="12" fillId="0" borderId="5" xfId="8" applyFont="1" applyFill="1" applyBorder="1" applyAlignment="1">
      <alignment horizontal="center" vertical="center" wrapText="1"/>
    </xf>
    <xf numFmtId="165" fontId="12" fillId="0" borderId="10" xfId="8" applyNumberFormat="1" applyFont="1" applyFill="1" applyBorder="1" applyAlignment="1">
      <alignment horizontal="center" vertical="center" wrapText="1"/>
    </xf>
    <xf numFmtId="0" fontId="13" fillId="0" borderId="4" xfId="8" applyFont="1" applyFill="1" applyBorder="1"/>
    <xf numFmtId="0" fontId="13" fillId="0" borderId="10" xfId="8" applyFont="1" applyFill="1" applyBorder="1" applyAlignment="1">
      <alignment horizontal="left" wrapText="1"/>
    </xf>
    <xf numFmtId="0" fontId="13" fillId="0" borderId="10" xfId="8" applyFont="1" applyFill="1" applyBorder="1" applyAlignment="1">
      <alignment horizontal="center" wrapText="1"/>
    </xf>
    <xf numFmtId="0" fontId="13" fillId="0" borderId="11" xfId="8" applyFont="1" applyFill="1" applyBorder="1" applyAlignment="1">
      <alignment vertical="center" wrapText="1"/>
    </xf>
    <xf numFmtId="0" fontId="13" fillId="0" borderId="10" xfId="8" applyFont="1" applyFill="1" applyBorder="1" applyAlignment="1">
      <alignment horizontal="center" vertical="center" wrapText="1"/>
    </xf>
    <xf numFmtId="0" fontId="13" fillId="0" borderId="10" xfId="8" applyFont="1" applyFill="1" applyBorder="1" applyAlignment="1">
      <alignment vertical="center" wrapText="1"/>
    </xf>
    <xf numFmtId="0" fontId="13" fillId="0" borderId="3" xfId="8" applyFont="1" applyFill="1" applyBorder="1" applyAlignment="1">
      <alignment vertical="center" wrapText="1"/>
    </xf>
    <xf numFmtId="0" fontId="13" fillId="0" borderId="12" xfId="8" applyFont="1" applyFill="1" applyBorder="1" applyAlignment="1">
      <alignment vertical="center" wrapText="1"/>
    </xf>
    <xf numFmtId="0" fontId="13" fillId="0" borderId="0" xfId="8" applyFont="1" applyFill="1" applyBorder="1" applyAlignment="1">
      <alignment horizontal="center"/>
    </xf>
    <xf numFmtId="0" fontId="12" fillId="0" borderId="0" xfId="8" applyFont="1" applyFill="1" applyBorder="1" applyAlignment="1">
      <alignment horizontal="left"/>
    </xf>
    <xf numFmtId="165" fontId="13" fillId="0" borderId="0" xfId="8" applyNumberFormat="1" applyFont="1" applyFill="1" applyBorder="1" applyAlignment="1">
      <alignment horizontal="center"/>
    </xf>
    <xf numFmtId="164" fontId="13" fillId="0" borderId="0" xfId="9" applyNumberFormat="1" applyFont="1" applyFill="1" applyBorder="1" applyAlignment="1">
      <alignment horizontal="center"/>
    </xf>
    <xf numFmtId="164" fontId="13" fillId="0" borderId="0" xfId="9" applyNumberFormat="1" applyFont="1" applyFill="1" applyBorder="1" applyAlignment="1">
      <alignment vertical="justify"/>
    </xf>
    <xf numFmtId="0" fontId="13" fillId="0" borderId="9" xfId="8" applyFont="1" applyFill="1" applyBorder="1"/>
    <xf numFmtId="0" fontId="13" fillId="0" borderId="10" xfId="8" applyFont="1" applyFill="1" applyBorder="1"/>
    <xf numFmtId="0" fontId="13" fillId="0" borderId="5" xfId="8" applyFont="1" applyFill="1" applyBorder="1" applyAlignment="1">
      <alignment horizontal="center" vertical="center"/>
    </xf>
    <xf numFmtId="0" fontId="13" fillId="0" borderId="5" xfId="8" applyFont="1" applyFill="1" applyBorder="1" applyAlignment="1">
      <alignment horizontal="left" vertical="center"/>
    </xf>
    <xf numFmtId="0" fontId="13" fillId="0" borderId="5" xfId="8" applyFont="1" applyFill="1" applyBorder="1" applyAlignment="1"/>
    <xf numFmtId="0" fontId="13" fillId="0" borderId="5" xfId="8" applyFont="1" applyFill="1" applyBorder="1" applyAlignment="1">
      <alignment horizontal="center"/>
    </xf>
    <xf numFmtId="0" fontId="13" fillId="3" borderId="5" xfId="8" applyFont="1" applyFill="1" applyBorder="1" applyAlignment="1">
      <alignment horizontal="center"/>
    </xf>
    <xf numFmtId="165" fontId="13" fillId="0" borderId="5" xfId="8" applyNumberFormat="1" applyFont="1" applyFill="1" applyBorder="1" applyAlignment="1">
      <alignment horizontal="right"/>
    </xf>
    <xf numFmtId="164" fontId="13" fillId="0" borderId="5" xfId="9" applyNumberFormat="1" applyFont="1" applyFill="1" applyBorder="1" applyAlignment="1">
      <alignment horizontal="right"/>
    </xf>
    <xf numFmtId="166" fontId="13" fillId="0" borderId="5" xfId="10" applyNumberFormat="1" applyFont="1" applyFill="1" applyBorder="1" applyAlignment="1">
      <alignment horizontal="center"/>
    </xf>
    <xf numFmtId="164" fontId="13" fillId="0" borderId="5" xfId="9" applyNumberFormat="1" applyFont="1" applyFill="1" applyBorder="1" applyAlignment="1">
      <alignment vertical="justify"/>
    </xf>
    <xf numFmtId="37" fontId="13" fillId="0" borderId="0" xfId="8" applyNumberFormat="1" applyFont="1" applyFill="1" applyBorder="1"/>
    <xf numFmtId="37" fontId="13" fillId="0" borderId="0" xfId="8" applyNumberFormat="1" applyFont="1" applyFill="1" applyBorder="1" applyAlignment="1">
      <alignment horizontal="center"/>
    </xf>
    <xf numFmtId="14" fontId="13" fillId="0" borderId="0" xfId="8" applyNumberFormat="1" applyFont="1" applyFill="1" applyBorder="1"/>
    <xf numFmtId="14" fontId="13" fillId="0" borderId="0" xfId="8" applyNumberFormat="1" applyFont="1" applyFill="1" applyBorder="1" applyAlignment="1">
      <alignment horizontal="right"/>
    </xf>
    <xf numFmtId="9" fontId="13" fillId="0" borderId="5" xfId="10" applyFont="1" applyFill="1" applyBorder="1" applyAlignment="1">
      <alignment horizontal="center"/>
    </xf>
    <xf numFmtId="41" fontId="13" fillId="0" borderId="5" xfId="11" applyFont="1" applyFill="1" applyBorder="1" applyAlignment="1">
      <alignment horizontal="center"/>
    </xf>
    <xf numFmtId="0" fontId="13" fillId="0" borderId="5" xfId="8" applyFont="1" applyFill="1" applyBorder="1"/>
    <xf numFmtId="14" fontId="13" fillId="0" borderId="5" xfId="8" applyNumberFormat="1" applyFont="1" applyFill="1" applyBorder="1"/>
    <xf numFmtId="14" fontId="13" fillId="0" borderId="5" xfId="8" applyNumberFormat="1" applyFont="1" applyFill="1" applyBorder="1" applyAlignment="1">
      <alignment horizontal="right"/>
    </xf>
    <xf numFmtId="14" fontId="13" fillId="0" borderId="0" xfId="8" applyNumberFormat="1" applyFont="1" applyFill="1"/>
    <xf numFmtId="0" fontId="13" fillId="0" borderId="0" xfId="8" applyFont="1" applyFill="1" applyAlignment="1">
      <alignment horizontal="right"/>
    </xf>
    <xf numFmtId="0" fontId="11" fillId="0" borderId="0" xfId="8" applyFont="1" applyFill="1" applyBorder="1"/>
    <xf numFmtId="0" fontId="11" fillId="0" borderId="5" xfId="8" applyFont="1" applyFill="1" applyBorder="1"/>
    <xf numFmtId="0" fontId="13" fillId="0" borderId="13" xfId="8" applyFont="1" applyFill="1" applyBorder="1"/>
    <xf numFmtId="0" fontId="11" fillId="0" borderId="13" xfId="8" applyFont="1" applyFill="1" applyBorder="1"/>
    <xf numFmtId="0" fontId="13" fillId="0" borderId="0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left" vertical="center"/>
    </xf>
    <xf numFmtId="165" fontId="13" fillId="0" borderId="0" xfId="8" applyNumberFormat="1" applyFont="1" applyFill="1" applyBorder="1" applyAlignment="1">
      <alignment horizontal="center" vertical="center"/>
    </xf>
    <xf numFmtId="167" fontId="13" fillId="0" borderId="0" xfId="9" applyNumberFormat="1" applyFont="1" applyFill="1" applyBorder="1" applyAlignment="1">
      <alignment horizontal="center"/>
    </xf>
    <xf numFmtId="0" fontId="13" fillId="0" borderId="10" xfId="8" applyFont="1" applyFill="1" applyBorder="1" applyAlignment="1">
      <alignment horizontal="right"/>
    </xf>
    <xf numFmtId="0" fontId="13" fillId="0" borderId="0" xfId="8" applyFont="1" applyFill="1" applyBorder="1" applyAlignment="1">
      <alignment horizontal="right"/>
    </xf>
    <xf numFmtId="165" fontId="13" fillId="0" borderId="5" xfId="8" applyNumberFormat="1" applyFont="1" applyFill="1" applyBorder="1" applyAlignment="1">
      <alignment horizontal="center"/>
    </xf>
    <xf numFmtId="167" fontId="13" fillId="0" borderId="5" xfId="9" applyNumberFormat="1" applyFont="1" applyFill="1" applyBorder="1" applyAlignment="1">
      <alignment horizontal="center"/>
    </xf>
    <xf numFmtId="0" fontId="13" fillId="0" borderId="1" xfId="8" applyFont="1" applyFill="1" applyBorder="1"/>
    <xf numFmtId="0" fontId="13" fillId="0" borderId="5" xfId="8" applyFont="1" applyFill="1" applyBorder="1" applyAlignment="1">
      <alignment horizontal="right"/>
    </xf>
    <xf numFmtId="164" fontId="13" fillId="0" borderId="0" xfId="9" applyNumberFormat="1" applyFont="1" applyFill="1" applyBorder="1" applyAlignment="1">
      <alignment horizontal="right"/>
    </xf>
    <xf numFmtId="167" fontId="13" fillId="0" borderId="0" xfId="8" applyNumberFormat="1" applyFont="1" applyFill="1" applyBorder="1" applyAlignment="1">
      <alignment horizontal="right"/>
    </xf>
    <xf numFmtId="168" fontId="13" fillId="0" borderId="5" xfId="8" applyNumberFormat="1" applyFont="1" applyFill="1" applyBorder="1"/>
    <xf numFmtId="14" fontId="11" fillId="0" borderId="0" xfId="8" applyNumberFormat="1" applyFont="1" applyFill="1" applyBorder="1" applyAlignment="1">
      <alignment horizontal="right"/>
    </xf>
    <xf numFmtId="168" fontId="13" fillId="0" borderId="5" xfId="8" applyNumberFormat="1" applyFont="1" applyFill="1" applyBorder="1" applyAlignment="1">
      <alignment horizontal="right"/>
    </xf>
    <xf numFmtId="49" fontId="13" fillId="0" borderId="5" xfId="8" applyNumberFormat="1" applyFont="1" applyFill="1" applyBorder="1" applyAlignment="1">
      <alignment horizontal="right"/>
    </xf>
    <xf numFmtId="167" fontId="13" fillId="0" borderId="5" xfId="9" applyNumberFormat="1" applyFont="1" applyFill="1" applyBorder="1" applyAlignment="1">
      <alignment horizontal="center" vertical="center"/>
    </xf>
    <xf numFmtId="166" fontId="13" fillId="0" borderId="5" xfId="10" applyNumberFormat="1" applyFont="1" applyFill="1" applyBorder="1" applyAlignment="1">
      <alignment horizontal="center" vertical="center"/>
    </xf>
    <xf numFmtId="14" fontId="13" fillId="0" borderId="5" xfId="9" applyNumberFormat="1" applyFont="1" applyFill="1" applyBorder="1" applyAlignment="1">
      <alignment horizontal="center"/>
    </xf>
    <xf numFmtId="0" fontId="13" fillId="0" borderId="0" xfId="8" applyFont="1" applyFill="1" applyBorder="1" applyAlignment="1"/>
    <xf numFmtId="167" fontId="13" fillId="0" borderId="0" xfId="8" applyNumberFormat="1" applyFont="1" applyFill="1" applyBorder="1"/>
    <xf numFmtId="3" fontId="13" fillId="0" borderId="0" xfId="8" applyNumberFormat="1" applyFont="1" applyFill="1"/>
    <xf numFmtId="165" fontId="13" fillId="0" borderId="0" xfId="8" applyNumberFormat="1" applyFont="1" applyFill="1" applyBorder="1"/>
    <xf numFmtId="0" fontId="12" fillId="0" borderId="0" xfId="8" applyFont="1" applyFill="1" applyBorder="1" applyAlignment="1"/>
    <xf numFmtId="0" fontId="13" fillId="0" borderId="0" xfId="8" applyFont="1" applyFill="1" applyAlignment="1">
      <alignment horizontal="center"/>
    </xf>
    <xf numFmtId="9" fontId="13" fillId="0" borderId="0" xfId="10" applyFont="1" applyFill="1" applyBorder="1"/>
    <xf numFmtId="0" fontId="13" fillId="0" borderId="10" xfId="8" applyFont="1" applyFill="1" applyBorder="1" applyAlignment="1">
      <alignment horizontal="center" vertical="center"/>
    </xf>
    <xf numFmtId="9" fontId="13" fillId="0" borderId="5" xfId="10" applyNumberFormat="1" applyFont="1" applyFill="1" applyBorder="1"/>
    <xf numFmtId="166" fontId="13" fillId="0" borderId="5" xfId="10" applyNumberFormat="1" applyFont="1" applyFill="1" applyBorder="1"/>
    <xf numFmtId="9" fontId="13" fillId="0" borderId="5" xfId="10" applyFont="1" applyFill="1" applyBorder="1"/>
    <xf numFmtId="169" fontId="13" fillId="0" borderId="5" xfId="8" applyNumberFormat="1" applyFont="1" applyFill="1" applyBorder="1" applyAlignment="1">
      <alignment horizontal="center"/>
    </xf>
    <xf numFmtId="0" fontId="13" fillId="0" borderId="6" xfId="8" applyFont="1" applyFill="1" applyBorder="1" applyAlignment="1">
      <alignment horizontal="left" vertical="center"/>
    </xf>
    <xf numFmtId="0" fontId="13" fillId="0" borderId="6" xfId="8" applyFont="1" applyFill="1" applyBorder="1" applyAlignment="1">
      <alignment horizontal="center" vertical="center"/>
    </xf>
    <xf numFmtId="167" fontId="13" fillId="0" borderId="6" xfId="9" applyNumberFormat="1" applyFont="1" applyFill="1" applyBorder="1" applyAlignment="1">
      <alignment horizontal="center" vertical="center"/>
    </xf>
    <xf numFmtId="9" fontId="13" fillId="0" borderId="6" xfId="10" applyFont="1" applyFill="1" applyBorder="1"/>
    <xf numFmtId="164" fontId="13" fillId="0" borderId="6" xfId="9" applyNumberFormat="1" applyFont="1" applyFill="1" applyBorder="1" applyAlignment="1">
      <alignment vertical="justify"/>
    </xf>
    <xf numFmtId="167" fontId="13" fillId="0" borderId="6" xfId="9" applyNumberFormat="1" applyFont="1" applyFill="1" applyBorder="1" applyAlignment="1">
      <alignment horizontal="center"/>
    </xf>
    <xf numFmtId="0" fontId="13" fillId="0" borderId="6" xfId="8" applyFont="1" applyFill="1" applyBorder="1"/>
    <xf numFmtId="14" fontId="13" fillId="0" borderId="6" xfId="8" applyNumberFormat="1" applyFont="1" applyFill="1" applyBorder="1"/>
    <xf numFmtId="0" fontId="13" fillId="0" borderId="6" xfId="8" applyFont="1" applyFill="1" applyBorder="1" applyAlignment="1">
      <alignment horizontal="center"/>
    </xf>
    <xf numFmtId="167" fontId="13" fillId="0" borderId="5" xfId="9" applyNumberFormat="1" applyFont="1" applyFill="1" applyBorder="1" applyAlignment="1"/>
    <xf numFmtId="0" fontId="11" fillId="0" borderId="0" xfId="8" applyFont="1" applyFill="1" applyBorder="1" applyAlignment="1">
      <alignment horizontal="right"/>
    </xf>
    <xf numFmtId="167" fontId="13" fillId="0" borderId="5" xfId="8" applyNumberFormat="1" applyFont="1" applyFill="1" applyBorder="1"/>
    <xf numFmtId="0" fontId="13" fillId="0" borderId="5" xfId="8" applyFont="1" applyBorder="1"/>
    <xf numFmtId="37" fontId="13" fillId="0" borderId="5" xfId="8" applyNumberFormat="1" applyFont="1" applyFill="1" applyBorder="1"/>
    <xf numFmtId="37" fontId="13" fillId="0" borderId="5" xfId="8" applyNumberFormat="1" applyFont="1" applyFill="1" applyBorder="1" applyAlignment="1">
      <alignment horizontal="center"/>
    </xf>
    <xf numFmtId="0" fontId="11" fillId="0" borderId="0" xfId="8" applyFont="1"/>
    <xf numFmtId="37" fontId="11" fillId="0" borderId="0" xfId="8" applyNumberFormat="1" applyFont="1" applyFill="1" applyBorder="1"/>
    <xf numFmtId="14" fontId="13" fillId="0" borderId="1" xfId="8" applyNumberFormat="1" applyFont="1" applyFill="1" applyBorder="1"/>
    <xf numFmtId="164" fontId="11" fillId="0" borderId="0" xfId="9" applyNumberFormat="1" applyFont="1" applyFill="1"/>
    <xf numFmtId="14" fontId="13" fillId="0" borderId="0" xfId="8" applyNumberFormat="1" applyFont="1" applyFill="1" applyBorder="1" applyAlignment="1">
      <alignment horizontal="left" vertical="center"/>
    </xf>
    <xf numFmtId="0" fontId="13" fillId="0" borderId="5" xfId="8" applyFont="1" applyFill="1" applyBorder="1" applyAlignment="1">
      <alignment horizontal="center" vertical="center" wrapText="1"/>
    </xf>
    <xf numFmtId="167" fontId="13" fillId="0" borderId="5" xfId="9" applyNumberFormat="1" applyFont="1" applyFill="1" applyBorder="1" applyAlignment="1">
      <alignment horizontal="left" vertical="center" wrapText="1"/>
    </xf>
    <xf numFmtId="0" fontId="13" fillId="0" borderId="12" xfId="8" applyFont="1" applyFill="1" applyBorder="1" applyAlignment="1">
      <alignment horizontal="center"/>
    </xf>
    <xf numFmtId="43" fontId="13" fillId="0" borderId="5" xfId="9" applyFont="1" applyFill="1" applyBorder="1" applyAlignment="1">
      <alignment vertical="justify"/>
    </xf>
    <xf numFmtId="14" fontId="13" fillId="0" borderId="5" xfId="8" applyNumberFormat="1" applyFont="1" applyFill="1" applyBorder="1" applyAlignment="1">
      <alignment horizontal="center"/>
    </xf>
    <xf numFmtId="0" fontId="13" fillId="0" borderId="5" xfId="8" quotePrefix="1" applyFont="1" applyFill="1" applyBorder="1"/>
    <xf numFmtId="165" fontId="13" fillId="4" borderId="5" xfId="8" applyNumberFormat="1" applyFont="1" applyFill="1" applyBorder="1" applyAlignment="1">
      <alignment horizontal="center"/>
    </xf>
    <xf numFmtId="0" fontId="13" fillId="0" borderId="0" xfId="8" applyFont="1"/>
    <xf numFmtId="3" fontId="11" fillId="0" borderId="0" xfId="8" applyNumberFormat="1" applyFont="1" applyFill="1" applyBorder="1" applyAlignment="1">
      <alignment horizontal="center"/>
    </xf>
    <xf numFmtId="0" fontId="13" fillId="0" borderId="12" xfId="8" applyFont="1" applyFill="1" applyBorder="1" applyAlignment="1"/>
    <xf numFmtId="0" fontId="13" fillId="0" borderId="10" xfId="8" applyFont="1" applyFill="1" applyBorder="1" applyAlignment="1">
      <alignment horizontal="center"/>
    </xf>
    <xf numFmtId="37" fontId="13" fillId="0" borderId="10" xfId="8" applyNumberFormat="1" applyFont="1" applyFill="1" applyBorder="1"/>
    <xf numFmtId="166" fontId="13" fillId="0" borderId="10" xfId="10" applyNumberFormat="1" applyFont="1" applyFill="1" applyBorder="1" applyAlignment="1">
      <alignment horizontal="center"/>
    </xf>
    <xf numFmtId="164" fontId="13" fillId="0" borderId="10" xfId="9" applyNumberFormat="1" applyFont="1" applyFill="1" applyBorder="1" applyAlignment="1">
      <alignment vertical="justify"/>
    </xf>
    <xf numFmtId="0" fontId="11" fillId="0" borderId="10" xfId="8" applyFont="1" applyFill="1" applyBorder="1"/>
    <xf numFmtId="4" fontId="13" fillId="0" borderId="5" xfId="8" applyNumberFormat="1" applyFont="1" applyFill="1" applyBorder="1" applyAlignment="1">
      <alignment horizontal="center"/>
    </xf>
    <xf numFmtId="43" fontId="13" fillId="0" borderId="5" xfId="9" applyFont="1" applyFill="1" applyBorder="1"/>
    <xf numFmtId="9" fontId="13" fillId="0" borderId="5" xfId="10" applyNumberFormat="1" applyFont="1" applyFill="1" applyBorder="1" applyAlignment="1">
      <alignment horizontal="center"/>
    </xf>
    <xf numFmtId="0" fontId="11" fillId="0" borderId="0" xfId="12" applyFont="1"/>
    <xf numFmtId="0" fontId="13" fillId="5" borderId="0" xfId="8" applyFont="1" applyFill="1" applyAlignment="1">
      <alignment horizontal="center"/>
    </xf>
    <xf numFmtId="167" fontId="13" fillId="0" borderId="5" xfId="13" applyNumberFormat="1" applyFont="1" applyFill="1" applyBorder="1" applyAlignment="1">
      <alignment horizontal="center"/>
    </xf>
    <xf numFmtId="170" fontId="13" fillId="0" borderId="5" xfId="9" applyNumberFormat="1" applyFont="1" applyFill="1" applyBorder="1"/>
    <xf numFmtId="164" fontId="13" fillId="0" borderId="5" xfId="9" applyNumberFormat="1" applyFont="1" applyFill="1" applyBorder="1"/>
    <xf numFmtId="0" fontId="13" fillId="0" borderId="1" xfId="8" applyFont="1" applyFill="1" applyBorder="1" applyAlignment="1">
      <alignment horizontal="right"/>
    </xf>
    <xf numFmtId="167" fontId="13" fillId="0" borderId="0" xfId="8" applyNumberFormat="1" applyFont="1" applyFill="1"/>
    <xf numFmtId="0" fontId="13" fillId="0" borderId="5" xfId="8" applyFont="1" applyFill="1" applyBorder="1" applyAlignment="1">
      <alignment horizontal="left" vertical="center" wrapText="1"/>
    </xf>
    <xf numFmtId="165" fontId="12" fillId="0" borderId="14" xfId="9" applyNumberFormat="1" applyFont="1" applyFill="1" applyBorder="1" applyAlignment="1">
      <alignment horizontal="center"/>
    </xf>
    <xf numFmtId="0" fontId="13" fillId="6" borderId="0" xfId="8" applyFont="1" applyFill="1" applyAlignment="1">
      <alignment horizontal="right"/>
    </xf>
    <xf numFmtId="167" fontId="13" fillId="6" borderId="0" xfId="8" applyNumberFormat="1" applyFont="1" applyFill="1" applyAlignment="1">
      <alignment horizontal="center"/>
    </xf>
    <xf numFmtId="0" fontId="13" fillId="6" borderId="0" xfId="8" applyFont="1" applyFill="1" applyAlignment="1">
      <alignment horizontal="center"/>
    </xf>
    <xf numFmtId="0" fontId="13" fillId="6" borderId="0" xfId="8" applyFont="1" applyFill="1"/>
    <xf numFmtId="0" fontId="11" fillId="5" borderId="0" xfId="8" applyFont="1" applyFill="1"/>
    <xf numFmtId="0" fontId="13" fillId="5" borderId="0" xfId="8" applyFont="1" applyFill="1"/>
    <xf numFmtId="165" fontId="12" fillId="0" borderId="0" xfId="8" applyNumberFormat="1" applyFont="1" applyFill="1" applyBorder="1" applyAlignment="1">
      <alignment horizontal="center"/>
    </xf>
    <xf numFmtId="164" fontId="13" fillId="0" borderId="0" xfId="9" applyNumberFormat="1" applyFont="1" applyFill="1" applyAlignment="1">
      <alignment vertical="justify"/>
    </xf>
    <xf numFmtId="0" fontId="12" fillId="0" borderId="0" xfId="8" applyFont="1" applyFill="1" applyBorder="1"/>
    <xf numFmtId="164" fontId="12" fillId="0" borderId="0" xfId="9" applyNumberFormat="1" applyFont="1" applyFill="1" applyAlignment="1"/>
    <xf numFmtId="3" fontId="13" fillId="0" borderId="0" xfId="8" applyNumberFormat="1" applyFont="1" applyFill="1" applyBorder="1"/>
    <xf numFmtId="164" fontId="12" fillId="0" borderId="0" xfId="9" applyNumberFormat="1" applyFont="1" applyFill="1" applyBorder="1" applyAlignment="1">
      <alignment vertical="center"/>
    </xf>
    <xf numFmtId="164" fontId="13" fillId="0" borderId="0" xfId="8" applyNumberFormat="1" applyFont="1" applyFill="1" applyBorder="1"/>
    <xf numFmtId="43" fontId="13" fillId="0" borderId="0" xfId="9" applyFont="1" applyFill="1"/>
    <xf numFmtId="164" fontId="12" fillId="0" borderId="0" xfId="9" applyNumberFormat="1" applyFont="1" applyFill="1" applyBorder="1" applyAlignment="1"/>
    <xf numFmtId="165" fontId="12" fillId="0" borderId="16" xfId="8" applyNumberFormat="1" applyFont="1" applyFill="1" applyBorder="1"/>
    <xf numFmtId="166" fontId="13" fillId="0" borderId="0" xfId="10" applyNumberFormat="1" applyFont="1" applyFill="1"/>
    <xf numFmtId="0" fontId="12" fillId="0" borderId="13" xfId="8" applyFont="1" applyFill="1" applyBorder="1"/>
    <xf numFmtId="164" fontId="12" fillId="0" borderId="13" xfId="9" applyNumberFormat="1" applyFont="1" applyFill="1" applyBorder="1" applyAlignment="1"/>
    <xf numFmtId="165" fontId="12" fillId="0" borderId="17" xfId="8" applyNumberFormat="1" applyFont="1" applyFill="1" applyBorder="1"/>
    <xf numFmtId="164" fontId="13" fillId="0" borderId="0" xfId="8" applyNumberFormat="1" applyFont="1" applyFill="1"/>
    <xf numFmtId="4" fontId="13" fillId="0" borderId="0" xfId="10" applyNumberFormat="1" applyFont="1" applyFill="1" applyBorder="1" applyAlignment="1">
      <alignment horizontal="left"/>
    </xf>
    <xf numFmtId="4" fontId="13" fillId="0" borderId="0" xfId="10" applyNumberFormat="1" applyFont="1" applyFill="1" applyBorder="1" applyAlignment="1">
      <alignment horizontal="center"/>
    </xf>
    <xf numFmtId="165" fontId="13" fillId="0" borderId="0" xfId="10" applyNumberFormat="1" applyFont="1" applyFill="1" applyBorder="1" applyAlignment="1">
      <alignment horizontal="center"/>
    </xf>
    <xf numFmtId="3" fontId="13" fillId="0" borderId="0" xfId="10" applyNumberFormat="1" applyFont="1" applyFill="1" applyBorder="1" applyAlignment="1">
      <alignment horizontal="right"/>
    </xf>
    <xf numFmtId="165" fontId="13" fillId="0" borderId="0" xfId="8" applyNumberFormat="1" applyFont="1" applyFill="1"/>
    <xf numFmtId="164" fontId="13" fillId="0" borderId="0" xfId="10" applyNumberFormat="1" applyFont="1" applyFill="1" applyBorder="1" applyAlignment="1">
      <alignment horizontal="center"/>
    </xf>
    <xf numFmtId="3" fontId="12" fillId="0" borderId="0" xfId="8" applyNumberFormat="1" applyFont="1" applyFill="1" applyBorder="1"/>
    <xf numFmtId="165" fontId="13" fillId="0" borderId="0" xfId="8" applyNumberFormat="1" applyFont="1" applyFill="1" applyBorder="1" applyAlignment="1">
      <alignment horizontal="left"/>
    </xf>
    <xf numFmtId="0" fontId="13" fillId="0" borderId="0" xfId="8" applyFont="1" applyFill="1" applyBorder="1" applyAlignment="1">
      <alignment horizontal="left"/>
    </xf>
    <xf numFmtId="14" fontId="13" fillId="0" borderId="0" xfId="8" applyNumberFormat="1" applyFont="1" applyFill="1" applyBorder="1" applyAlignment="1">
      <alignment horizontal="center"/>
    </xf>
    <xf numFmtId="0" fontId="13" fillId="0" borderId="0" xfId="8" applyFont="1" applyFill="1" applyAlignment="1">
      <alignment horizontal="left"/>
    </xf>
    <xf numFmtId="9" fontId="13" fillId="0" borderId="0" xfId="10" applyFont="1" applyFill="1" applyBorder="1" applyAlignment="1"/>
    <xf numFmtId="166" fontId="13" fillId="0" borderId="5" xfId="10" applyNumberFormat="1" applyFont="1" applyFill="1" applyBorder="1" applyAlignment="1">
      <alignment vertical="justify"/>
    </xf>
    <xf numFmtId="166" fontId="13" fillId="0" borderId="5" xfId="14" applyNumberFormat="1" applyFont="1" applyFill="1" applyBorder="1"/>
    <xf numFmtId="0" fontId="13" fillId="0" borderId="13" xfId="8" applyFont="1" applyFill="1" applyBorder="1" applyAlignment="1">
      <alignment horizontal="center"/>
    </xf>
    <xf numFmtId="165" fontId="13" fillId="0" borderId="13" xfId="8" applyNumberFormat="1" applyFont="1" applyFill="1" applyBorder="1"/>
    <xf numFmtId="164" fontId="13" fillId="0" borderId="13" xfId="9" applyNumberFormat="1" applyFont="1" applyFill="1" applyBorder="1" applyAlignment="1">
      <alignment vertical="justify"/>
    </xf>
    <xf numFmtId="0" fontId="11" fillId="0" borderId="18" xfId="8" applyFont="1" applyFill="1" applyBorder="1"/>
    <xf numFmtId="0" fontId="12" fillId="0" borderId="18" xfId="8" applyFont="1" applyFill="1" applyBorder="1" applyAlignment="1">
      <alignment horizontal="left"/>
    </xf>
    <xf numFmtId="0" fontId="13" fillId="0" borderId="18" xfId="8" applyFont="1" applyFill="1" applyBorder="1"/>
    <xf numFmtId="165" fontId="13" fillId="0" borderId="18" xfId="8" applyNumberFormat="1" applyFont="1" applyFill="1" applyBorder="1"/>
    <xf numFmtId="0" fontId="13" fillId="0" borderId="18" xfId="8" applyFont="1" applyFill="1" applyBorder="1" applyAlignment="1">
      <alignment horizontal="center"/>
    </xf>
    <xf numFmtId="164" fontId="13" fillId="0" borderId="18" xfId="9" applyNumberFormat="1" applyFont="1" applyFill="1" applyBorder="1" applyAlignment="1">
      <alignment vertical="justify"/>
    </xf>
    <xf numFmtId="165" fontId="13" fillId="0" borderId="5" xfId="8" applyNumberFormat="1" applyFont="1" applyFill="1" applyBorder="1"/>
    <xf numFmtId="0" fontId="14" fillId="0" borderId="5" xfId="8" applyFont="1" applyFill="1" applyBorder="1"/>
    <xf numFmtId="0" fontId="13" fillId="0" borderId="19" xfId="8" applyFont="1" applyFill="1" applyBorder="1" applyAlignment="1">
      <alignment horizontal="center"/>
    </xf>
    <xf numFmtId="165" fontId="13" fillId="0" borderId="20" xfId="8" applyNumberFormat="1" applyFont="1" applyFill="1" applyBorder="1"/>
    <xf numFmtId="0" fontId="13" fillId="0" borderId="20" xfId="8" applyFont="1" applyFill="1" applyBorder="1" applyAlignment="1">
      <alignment horizontal="center"/>
    </xf>
    <xf numFmtId="164" fontId="13" fillId="0" borderId="20" xfId="9" applyNumberFormat="1" applyFont="1" applyFill="1" applyBorder="1" applyAlignment="1">
      <alignment vertical="justify"/>
    </xf>
    <xf numFmtId="0" fontId="13" fillId="5" borderId="5" xfId="8" applyFont="1" applyFill="1" applyBorder="1"/>
    <xf numFmtId="0" fontId="15" fillId="0" borderId="5" xfId="8" applyFont="1" applyFill="1" applyBorder="1" applyAlignment="1">
      <alignment horizontal="center"/>
    </xf>
    <xf numFmtId="0" fontId="15" fillId="0" borderId="5" xfId="8" applyFont="1" applyFill="1" applyBorder="1"/>
    <xf numFmtId="0" fontId="15" fillId="0" borderId="0" xfId="8" applyFont="1" applyFill="1"/>
    <xf numFmtId="164" fontId="15" fillId="0" borderId="5" xfId="9" applyNumberFormat="1" applyFont="1" applyFill="1" applyBorder="1" applyAlignment="1">
      <alignment vertical="justify"/>
    </xf>
    <xf numFmtId="0" fontId="15" fillId="0" borderId="5" xfId="8" applyFont="1" applyFill="1" applyBorder="1" applyAlignment="1">
      <alignment horizontal="left"/>
    </xf>
    <xf numFmtId="0" fontId="16" fillId="0" borderId="0" xfId="8" applyFont="1" applyFill="1"/>
    <xf numFmtId="167" fontId="13" fillId="0" borderId="5" xfId="9" applyNumberFormat="1" applyFont="1" applyFill="1" applyBorder="1" applyAlignment="1">
      <alignment horizontal="left"/>
    </xf>
    <xf numFmtId="0" fontId="13" fillId="7" borderId="5" xfId="8" applyFont="1" applyFill="1" applyBorder="1"/>
    <xf numFmtId="0" fontId="13" fillId="0" borderId="0" xfId="8" quotePrefix="1" applyFont="1" applyFill="1" applyBorder="1"/>
    <xf numFmtId="0" fontId="13" fillId="0" borderId="2" xfId="8" applyFont="1" applyFill="1" applyBorder="1"/>
    <xf numFmtId="165" fontId="13" fillId="0" borderId="5" xfId="8" applyNumberFormat="1" applyFont="1" applyFill="1" applyBorder="1" applyAlignment="1">
      <alignment horizontal="center" vertical="center"/>
    </xf>
    <xf numFmtId="167" fontId="13" fillId="0" borderId="0" xfId="9" applyNumberFormat="1" applyFont="1" applyFill="1" applyBorder="1" applyAlignment="1">
      <alignment horizontal="center" vertical="center"/>
    </xf>
    <xf numFmtId="168" fontId="13" fillId="0" borderId="0" xfId="8" applyNumberFormat="1" applyFont="1" applyFill="1" applyBorder="1"/>
    <xf numFmtId="165" fontId="13" fillId="0" borderId="6" xfId="8" applyNumberFormat="1" applyFont="1" applyFill="1" applyBorder="1" applyAlignment="1">
      <alignment horizontal="center"/>
    </xf>
    <xf numFmtId="0" fontId="13" fillId="0" borderId="21" xfId="8" applyFont="1" applyFill="1" applyBorder="1"/>
    <xf numFmtId="0" fontId="13" fillId="0" borderId="5" xfId="10" applyNumberFormat="1" applyFont="1" applyFill="1" applyBorder="1"/>
    <xf numFmtId="167" fontId="15" fillId="0" borderId="5" xfId="9" applyNumberFormat="1" applyFont="1" applyFill="1" applyBorder="1" applyAlignment="1">
      <alignment horizontal="center"/>
    </xf>
    <xf numFmtId="0" fontId="15" fillId="0" borderId="1" xfId="8" applyFont="1" applyFill="1" applyBorder="1"/>
    <xf numFmtId="0" fontId="15" fillId="0" borderId="5" xfId="8" applyFont="1" applyFill="1" applyBorder="1" applyAlignment="1">
      <alignment horizontal="right"/>
    </xf>
    <xf numFmtId="0" fontId="15" fillId="0" borderId="0" xfId="8" applyFont="1" applyFill="1" applyBorder="1" applyAlignment="1">
      <alignment horizontal="right"/>
    </xf>
    <xf numFmtId="164" fontId="15" fillId="0" borderId="0" xfId="9" applyNumberFormat="1" applyFont="1" applyFill="1" applyBorder="1" applyAlignment="1">
      <alignment vertical="justify"/>
    </xf>
    <xf numFmtId="167" fontId="15" fillId="0" borderId="0" xfId="9" applyNumberFormat="1" applyFont="1" applyFill="1" applyBorder="1" applyAlignment="1">
      <alignment horizontal="center"/>
    </xf>
    <xf numFmtId="0" fontId="15" fillId="0" borderId="0" xfId="8" applyFont="1" applyFill="1" applyBorder="1"/>
    <xf numFmtId="14" fontId="13" fillId="0" borderId="6" xfId="8" applyNumberFormat="1" applyFont="1" applyFill="1" applyBorder="1" applyAlignment="1">
      <alignment horizontal="right"/>
    </xf>
    <xf numFmtId="14" fontId="13" fillId="0" borderId="10" xfId="8" applyNumberFormat="1" applyFont="1" applyFill="1" applyBorder="1"/>
    <xf numFmtId="0" fontId="13" fillId="0" borderId="0" xfId="8" applyFont="1" applyAlignment="1">
      <alignment horizontal="justify"/>
    </xf>
    <xf numFmtId="0" fontId="13" fillId="3" borderId="0" xfId="8" applyFont="1" applyFill="1" applyBorder="1" applyAlignment="1">
      <alignment horizontal="center"/>
    </xf>
    <xf numFmtId="165" fontId="13" fillId="0" borderId="5" xfId="9" applyNumberFormat="1" applyFont="1" applyFill="1" applyBorder="1" applyAlignment="1">
      <alignment horizontal="center"/>
    </xf>
    <xf numFmtId="165" fontId="13" fillId="0" borderId="0" xfId="9" applyNumberFormat="1" applyFont="1" applyFill="1" applyBorder="1" applyAlignment="1">
      <alignment horizontal="center"/>
    </xf>
    <xf numFmtId="171" fontId="13" fillId="0" borderId="5" xfId="8" applyNumberFormat="1" applyFont="1" applyFill="1" applyBorder="1"/>
    <xf numFmtId="165" fontId="13" fillId="0" borderId="0" xfId="8" applyNumberFormat="1" applyFont="1" applyFill="1" applyBorder="1" applyAlignment="1">
      <alignment horizontal="right"/>
    </xf>
    <xf numFmtId="0" fontId="15" fillId="0" borderId="5" xfId="8" applyFont="1" applyFill="1" applyBorder="1" applyAlignment="1">
      <alignment horizontal="left" vertical="center"/>
    </xf>
    <xf numFmtId="164" fontId="13" fillId="0" borderId="5" xfId="9" quotePrefix="1" applyNumberFormat="1" applyFont="1" applyFill="1" applyBorder="1" applyAlignment="1">
      <alignment vertical="justify"/>
    </xf>
    <xf numFmtId="0" fontId="13" fillId="0" borderId="5" xfId="8" quotePrefix="1" applyFont="1" applyFill="1" applyBorder="1" applyAlignment="1">
      <alignment horizontal="center"/>
    </xf>
    <xf numFmtId="170" fontId="13" fillId="0" borderId="5" xfId="9" applyNumberFormat="1" applyFont="1" applyFill="1" applyBorder="1" applyAlignment="1">
      <alignment vertical="justify"/>
    </xf>
    <xf numFmtId="172" fontId="13" fillId="0" borderId="5" xfId="8" applyNumberFormat="1" applyFont="1" applyFill="1" applyBorder="1" applyAlignment="1">
      <alignment horizontal="right"/>
    </xf>
    <xf numFmtId="0" fontId="13" fillId="0" borderId="0" xfId="8" applyNumberFormat="1" applyFont="1" applyFill="1" applyBorder="1" applyAlignment="1"/>
    <xf numFmtId="43" fontId="13" fillId="0" borderId="0" xfId="8" applyNumberFormat="1" applyFont="1" applyFill="1"/>
    <xf numFmtId="173" fontId="13" fillId="0" borderId="5" xfId="11" applyNumberFormat="1" applyFont="1" applyFill="1" applyBorder="1"/>
    <xf numFmtId="0" fontId="13" fillId="8" borderId="5" xfId="8" applyFont="1" applyFill="1" applyBorder="1" applyAlignment="1">
      <alignment horizontal="center" vertical="center"/>
    </xf>
    <xf numFmtId="0" fontId="13" fillId="8" borderId="5" xfId="8" applyFont="1" applyFill="1" applyBorder="1" applyAlignment="1"/>
    <xf numFmtId="0" fontId="13" fillId="8" borderId="5" xfId="8" applyFont="1" applyFill="1" applyBorder="1" applyAlignment="1">
      <alignment horizontal="center"/>
    </xf>
    <xf numFmtId="165" fontId="13" fillId="8" borderId="5" xfId="8" applyNumberFormat="1" applyFont="1" applyFill="1" applyBorder="1" applyAlignment="1">
      <alignment horizontal="center"/>
    </xf>
    <xf numFmtId="165" fontId="13" fillId="8" borderId="5" xfId="8" applyNumberFormat="1" applyFont="1" applyFill="1" applyBorder="1" applyAlignment="1">
      <alignment horizontal="right"/>
    </xf>
    <xf numFmtId="164" fontId="13" fillId="8" borderId="5" xfId="9" applyNumberFormat="1" applyFont="1" applyFill="1" applyBorder="1" applyAlignment="1">
      <alignment horizontal="right"/>
    </xf>
    <xf numFmtId="166" fontId="13" fillId="8" borderId="5" xfId="10" applyNumberFormat="1" applyFont="1" applyFill="1" applyBorder="1" applyAlignment="1">
      <alignment horizontal="center"/>
    </xf>
    <xf numFmtId="164" fontId="13" fillId="8" borderId="5" xfId="9" applyNumberFormat="1" applyFont="1" applyFill="1" applyBorder="1" applyAlignment="1">
      <alignment vertical="justify"/>
    </xf>
    <xf numFmtId="37" fontId="13" fillId="8" borderId="0" xfId="8" applyNumberFormat="1" applyFont="1" applyFill="1" applyBorder="1"/>
    <xf numFmtId="37" fontId="13" fillId="8" borderId="0" xfId="8" applyNumberFormat="1" applyFont="1" applyFill="1" applyBorder="1" applyAlignment="1">
      <alignment horizontal="center"/>
    </xf>
    <xf numFmtId="0" fontId="13" fillId="8" borderId="0" xfId="8" applyFont="1" applyFill="1" applyBorder="1"/>
    <xf numFmtId="14" fontId="13" fillId="8" borderId="0" xfId="8" applyNumberFormat="1" applyFont="1" applyFill="1" applyBorder="1"/>
    <xf numFmtId="14" fontId="13" fillId="8" borderId="0" xfId="8" applyNumberFormat="1" applyFont="1" applyFill="1" applyBorder="1" applyAlignment="1">
      <alignment horizontal="right"/>
    </xf>
    <xf numFmtId="0" fontId="13" fillId="8" borderId="5" xfId="8" applyFont="1" applyFill="1" applyBorder="1"/>
    <xf numFmtId="0" fontId="11" fillId="8" borderId="5" xfId="8" applyFont="1" applyFill="1" applyBorder="1"/>
    <xf numFmtId="0" fontId="11" fillId="8" borderId="0" xfId="8" applyFont="1" applyFill="1"/>
    <xf numFmtId="0" fontId="14" fillId="0" borderId="5" xfId="8" applyFont="1" applyFill="1" applyBorder="1" applyAlignment="1">
      <alignment horizontal="left" vertical="center"/>
    </xf>
    <xf numFmtId="41" fontId="13" fillId="0" borderId="0" xfId="8" applyNumberFormat="1" applyFont="1" applyFill="1"/>
    <xf numFmtId="165" fontId="11" fillId="0" borderId="0" xfId="8" applyNumberFormat="1" applyFont="1" applyFill="1"/>
    <xf numFmtId="0" fontId="11" fillId="0" borderId="0" xfId="8" applyFont="1" applyFill="1" applyAlignment="1">
      <alignment horizontal="left"/>
    </xf>
    <xf numFmtId="0" fontId="12" fillId="0" borderId="0" xfId="8" applyFont="1" applyFill="1" applyAlignment="1">
      <alignment horizontal="left"/>
    </xf>
    <xf numFmtId="0" fontId="12" fillId="0" borderId="6" xfId="8" applyFont="1" applyFill="1" applyBorder="1" applyAlignment="1">
      <alignment horizontal="left" vertical="center" wrapText="1"/>
    </xf>
    <xf numFmtId="0" fontId="12" fillId="0" borderId="10" xfId="8" applyFont="1" applyFill="1" applyBorder="1" applyAlignment="1">
      <alignment horizontal="left" vertical="center" wrapText="1"/>
    </xf>
    <xf numFmtId="0" fontId="13" fillId="3" borderId="5" xfId="8" applyFont="1" applyFill="1" applyBorder="1" applyAlignment="1">
      <alignment horizontal="left"/>
    </xf>
    <xf numFmtId="0" fontId="13" fillId="3" borderId="12" xfId="8" applyFont="1" applyFill="1" applyBorder="1" applyAlignment="1">
      <alignment horizontal="left"/>
    </xf>
    <xf numFmtId="0" fontId="13" fillId="0" borderId="5" xfId="8" applyFont="1" applyFill="1" applyBorder="1" applyAlignment="1">
      <alignment horizontal="left"/>
    </xf>
    <xf numFmtId="0" fontId="13" fillId="6" borderId="0" xfId="8" applyFont="1" applyFill="1" applyAlignment="1">
      <alignment horizontal="left"/>
    </xf>
    <xf numFmtId="0" fontId="13" fillId="5" borderId="0" xfId="8" applyFont="1" applyFill="1" applyAlignment="1">
      <alignment horizontal="left"/>
    </xf>
    <xf numFmtId="164" fontId="13" fillId="0" borderId="0" xfId="8" applyNumberFormat="1" applyFont="1" applyFill="1" applyBorder="1" applyAlignment="1">
      <alignment horizontal="left"/>
    </xf>
    <xf numFmtId="164" fontId="12" fillId="0" borderId="0" xfId="9" applyNumberFormat="1" applyFont="1" applyFill="1" applyBorder="1" applyAlignment="1">
      <alignment horizontal="left"/>
    </xf>
    <xf numFmtId="164" fontId="13" fillId="0" borderId="0" xfId="8" applyNumberFormat="1" applyFont="1" applyFill="1" applyAlignment="1">
      <alignment horizontal="left"/>
    </xf>
    <xf numFmtId="3" fontId="13" fillId="0" borderId="0" xfId="8" applyNumberFormat="1" applyFont="1" applyFill="1" applyBorder="1" applyAlignment="1">
      <alignment horizontal="left"/>
    </xf>
    <xf numFmtId="165" fontId="13" fillId="0" borderId="0" xfId="10" applyNumberFormat="1" applyFont="1" applyFill="1" applyBorder="1" applyAlignment="1">
      <alignment horizontal="left"/>
    </xf>
    <xf numFmtId="3" fontId="12" fillId="0" borderId="0" xfId="8" applyNumberFormat="1" applyFont="1" applyFill="1" applyBorder="1" applyAlignment="1">
      <alignment horizontal="left"/>
    </xf>
    <xf numFmtId="37" fontId="13" fillId="0" borderId="0" xfId="8" applyNumberFormat="1" applyFont="1" applyFill="1" applyBorder="1" applyAlignment="1">
      <alignment horizontal="left"/>
    </xf>
    <xf numFmtId="0" fontId="13" fillId="0" borderId="13" xfId="8" applyFont="1" applyFill="1" applyBorder="1" applyAlignment="1">
      <alignment horizontal="left"/>
    </xf>
    <xf numFmtId="0" fontId="13" fillId="0" borderId="18" xfId="8" applyFont="1" applyFill="1" applyBorder="1" applyAlignment="1">
      <alignment horizontal="left"/>
    </xf>
    <xf numFmtId="165" fontId="13" fillId="0" borderId="5" xfId="8" applyNumberFormat="1" applyFont="1" applyFill="1" applyBorder="1" applyAlignment="1">
      <alignment horizontal="left"/>
    </xf>
    <xf numFmtId="0" fontId="13" fillId="0" borderId="2" xfId="8" applyFont="1" applyFill="1" applyBorder="1" applyAlignment="1">
      <alignment horizontal="left"/>
    </xf>
    <xf numFmtId="0" fontId="13" fillId="3" borderId="0" xfId="8" applyFont="1" applyFill="1" applyBorder="1" applyAlignment="1">
      <alignment horizontal="left"/>
    </xf>
    <xf numFmtId="0" fontId="13" fillId="8" borderId="5" xfId="8" applyFont="1" applyFill="1" applyBorder="1" applyAlignment="1">
      <alignment horizontal="left"/>
    </xf>
    <xf numFmtId="0" fontId="26" fillId="0" borderId="5" xfId="0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26" fillId="0" borderId="5" xfId="0" applyFont="1" applyBorder="1"/>
    <xf numFmtId="164" fontId="26" fillId="0" borderId="5" xfId="1" applyNumberFormat="1" applyFont="1" applyBorder="1" applyAlignment="1">
      <alignment vertical="center"/>
    </xf>
    <xf numFmtId="4" fontId="26" fillId="0" borderId="5" xfId="0" applyNumberFormat="1" applyFont="1" applyFill="1" applyBorder="1"/>
    <xf numFmtId="4" fontId="26" fillId="0" borderId="5" xfId="0" applyNumberFormat="1" applyFont="1" applyBorder="1"/>
    <xf numFmtId="2" fontId="27" fillId="0" borderId="5" xfId="0" applyNumberFormat="1" applyFont="1" applyBorder="1"/>
    <xf numFmtId="0" fontId="27" fillId="0" borderId="5" xfId="0" applyFont="1" applyBorder="1"/>
    <xf numFmtId="164" fontId="26" fillId="0" borderId="5" xfId="1" applyNumberFormat="1" applyFont="1" applyFill="1" applyBorder="1" applyAlignment="1">
      <alignment vertical="center"/>
    </xf>
    <xf numFmtId="0" fontId="26" fillId="0" borderId="5" xfId="0" applyFont="1" applyFill="1" applyBorder="1"/>
    <xf numFmtId="43" fontId="26" fillId="0" borderId="5" xfId="1" applyFont="1" applyFill="1" applyBorder="1"/>
    <xf numFmtId="0" fontId="26" fillId="0" borderId="5" xfId="1" applyNumberFormat="1" applyFont="1" applyFill="1" applyBorder="1"/>
    <xf numFmtId="2" fontId="27" fillId="0" borderId="5" xfId="0" applyNumberFormat="1" applyFont="1" applyFill="1" applyBorder="1"/>
    <xf numFmtId="2" fontId="26" fillId="0" borderId="5" xfId="1" applyNumberFormat="1" applyFont="1" applyFill="1" applyBorder="1"/>
    <xf numFmtId="3" fontId="26" fillId="0" borderId="5" xfId="0" applyNumberFormat="1" applyFont="1" applyFill="1" applyBorder="1"/>
    <xf numFmtId="1" fontId="26" fillId="0" borderId="5" xfId="0" applyNumberFormat="1" applyFont="1" applyFill="1" applyBorder="1" applyAlignment="1">
      <alignment horizontal="center"/>
    </xf>
    <xf numFmtId="2" fontId="26" fillId="0" borderId="5" xfId="0" applyNumberFormat="1" applyFont="1" applyFill="1" applyBorder="1"/>
    <xf numFmtId="0" fontId="27" fillId="0" borderId="5" xfId="0" applyFont="1" applyFill="1" applyBorder="1"/>
    <xf numFmtId="1" fontId="26" fillId="6" borderId="5" xfId="0" applyNumberFormat="1" applyFont="1" applyFill="1" applyBorder="1" applyAlignment="1">
      <alignment horizontal="center"/>
    </xf>
    <xf numFmtId="2" fontId="26" fillId="0" borderId="5" xfId="0" applyNumberFormat="1" applyFont="1" applyBorder="1"/>
    <xf numFmtId="0" fontId="26" fillId="0" borderId="0" xfId="0" applyFont="1" applyBorder="1"/>
    <xf numFmtId="0" fontId="25" fillId="0" borderId="0" xfId="0" applyFont="1" applyFill="1" applyAlignment="1"/>
    <xf numFmtId="1" fontId="6" fillId="9" borderId="5" xfId="1" applyNumberFormat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 vertical="center" wrapText="1"/>
    </xf>
    <xf numFmtId="1" fontId="8" fillId="9" borderId="5" xfId="1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43" fontId="26" fillId="0" borderId="5" xfId="1" applyFont="1" applyBorder="1"/>
    <xf numFmtId="43" fontId="26" fillId="0" borderId="5" xfId="5" applyFont="1" applyBorder="1"/>
    <xf numFmtId="43" fontId="26" fillId="0" borderId="5" xfId="0" applyNumberFormat="1" applyFont="1" applyBorder="1"/>
    <xf numFmtId="0" fontId="26" fillId="0" borderId="0" xfId="0" applyFont="1"/>
    <xf numFmtId="4" fontId="26" fillId="0" borderId="5" xfId="0" applyNumberFormat="1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 vertical="center"/>
    </xf>
    <xf numFmtId="43" fontId="8" fillId="2" borderId="10" xfId="1" applyFont="1" applyFill="1" applyBorder="1" applyAlignment="1">
      <alignment horizontal="center" vertical="center"/>
    </xf>
    <xf numFmtId="43" fontId="7" fillId="2" borderId="5" xfId="1" applyFont="1" applyFill="1" applyBorder="1" applyAlignment="1">
      <alignment horizontal="center" wrapText="1"/>
    </xf>
    <xf numFmtId="43" fontId="7" fillId="2" borderId="3" xfId="1" applyFont="1" applyFill="1" applyBorder="1" applyAlignment="1">
      <alignment horizontal="center" wrapText="1"/>
    </xf>
    <xf numFmtId="43" fontId="7" fillId="2" borderId="4" xfId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 wrapText="1"/>
    </xf>
    <xf numFmtId="43" fontId="8" fillId="2" borderId="6" xfId="1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12" fillId="0" borderId="8" xfId="8" applyFont="1" applyFill="1" applyBorder="1" applyAlignment="1">
      <alignment horizontal="center" vertical="center"/>
    </xf>
    <xf numFmtId="0" fontId="12" fillId="0" borderId="7" xfId="8" applyFont="1" applyFill="1" applyBorder="1" applyAlignment="1">
      <alignment horizontal="center" vertical="center"/>
    </xf>
    <xf numFmtId="0" fontId="12" fillId="0" borderId="3" xfId="8" applyFont="1" applyFill="1" applyBorder="1" applyAlignment="1">
      <alignment horizontal="center" vertical="center"/>
    </xf>
    <xf numFmtId="0" fontId="12" fillId="0" borderId="11" xfId="8" applyFont="1" applyFill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10" xfId="8" applyFont="1" applyFill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 wrapText="1"/>
    </xf>
    <xf numFmtId="0" fontId="12" fillId="0" borderId="10" xfId="8" applyFont="1" applyFill="1" applyBorder="1" applyAlignment="1">
      <alignment horizontal="center" vertical="center" wrapText="1"/>
    </xf>
    <xf numFmtId="0" fontId="12" fillId="0" borderId="5" xfId="8" applyFont="1" applyFill="1" applyBorder="1" applyAlignment="1">
      <alignment horizontal="center" vertical="center" wrapText="1"/>
    </xf>
    <xf numFmtId="0" fontId="12" fillId="0" borderId="6" xfId="8" applyFont="1" applyFill="1" applyBorder="1" applyAlignment="1">
      <alignment horizontal="center" vertical="center" textRotation="90" wrapText="1"/>
    </xf>
    <xf numFmtId="0" fontId="12" fillId="0" borderId="10" xfId="8" applyFont="1" applyFill="1" applyBorder="1" applyAlignment="1">
      <alignment horizontal="center" vertical="center" textRotation="90" wrapText="1"/>
    </xf>
    <xf numFmtId="165" fontId="12" fillId="0" borderId="6" xfId="8" applyNumberFormat="1" applyFont="1" applyFill="1" applyBorder="1" applyAlignment="1">
      <alignment horizontal="center" vertical="center" wrapText="1"/>
    </xf>
    <xf numFmtId="165" fontId="12" fillId="0" borderId="10" xfId="8" applyNumberFormat="1" applyFont="1" applyFill="1" applyBorder="1" applyAlignment="1">
      <alignment horizontal="center" vertical="center" wrapText="1"/>
    </xf>
    <xf numFmtId="0" fontId="13" fillId="0" borderId="5" xfId="8" applyFont="1" applyFill="1" applyBorder="1" applyAlignment="1">
      <alignment horizontal="center"/>
    </xf>
    <xf numFmtId="165" fontId="12" fillId="0" borderId="15" xfId="8" applyNumberFormat="1" applyFont="1" applyFill="1" applyBorder="1" applyAlignment="1">
      <alignment horizontal="center" vertical="center" wrapText="1"/>
    </xf>
    <xf numFmtId="165" fontId="12" fillId="0" borderId="16" xfId="8" applyNumberFormat="1" applyFont="1" applyFill="1" applyBorder="1" applyAlignment="1">
      <alignment horizontal="center" vertical="center" wrapText="1"/>
    </xf>
  </cellXfs>
  <cellStyles count="30">
    <cellStyle name="Comma" xfId="1" builtinId="3"/>
    <cellStyle name="Comma [0] 2" xfId="4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8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19" sqref="J19"/>
    </sheetView>
  </sheetViews>
  <sheetFormatPr defaultRowHeight="15"/>
  <cols>
    <col min="1" max="1" width="6" style="22" customWidth="1"/>
    <col min="2" max="2" width="8" style="12" hidden="1" customWidth="1"/>
    <col min="3" max="3" width="37.28515625" style="15" customWidth="1"/>
    <col min="4" max="4" width="8.140625" style="13" customWidth="1"/>
    <col min="5" max="5" width="7" style="14" customWidth="1"/>
    <col min="6" max="6" width="17.42578125" style="15" customWidth="1"/>
    <col min="7" max="7" width="16.5703125" style="15" customWidth="1"/>
    <col min="8" max="8" width="18.42578125" style="15" customWidth="1"/>
    <col min="9" max="9" width="15" customWidth="1"/>
    <col min="10" max="10" width="15.85546875" customWidth="1"/>
    <col min="11" max="11" width="16.5703125" customWidth="1"/>
    <col min="12" max="12" width="20" customWidth="1"/>
    <col min="13" max="13" width="16.42578125" customWidth="1"/>
    <col min="14" max="14" width="14.7109375" bestFit="1" customWidth="1"/>
    <col min="15" max="15" width="15.140625" customWidth="1"/>
    <col min="16" max="16" width="15" customWidth="1"/>
    <col min="17" max="17" width="15.28515625" bestFit="1" customWidth="1"/>
    <col min="18" max="18" width="13.5703125" bestFit="1" customWidth="1"/>
    <col min="19" max="19" width="12.5703125" bestFit="1" customWidth="1"/>
    <col min="20" max="20" width="13.7109375" bestFit="1" customWidth="1"/>
    <col min="21" max="21" width="15" customWidth="1"/>
    <col min="22" max="22" width="13.5703125" customWidth="1"/>
    <col min="23" max="23" width="15.5703125" customWidth="1"/>
  </cols>
  <sheetData>
    <row r="1" spans="1:23" s="6" customFormat="1" ht="15.75">
      <c r="A1" s="21"/>
      <c r="B1" s="1"/>
      <c r="C1" s="2" t="s">
        <v>199</v>
      </c>
      <c r="D1" s="3"/>
      <c r="E1" s="4"/>
      <c r="F1" s="5"/>
      <c r="G1" s="5"/>
      <c r="H1" s="5"/>
      <c r="I1" s="5"/>
      <c r="J1" s="5"/>
      <c r="K1" s="5"/>
      <c r="L1" s="5"/>
    </row>
    <row r="2" spans="1:23" s="6" customFormat="1">
      <c r="A2" s="21"/>
      <c r="B2" s="7"/>
      <c r="C2" s="8"/>
      <c r="D2" s="9"/>
      <c r="E2" s="10"/>
      <c r="F2" s="8"/>
      <c r="G2" s="8"/>
      <c r="H2" s="8"/>
      <c r="I2" s="8"/>
      <c r="J2" s="8"/>
      <c r="K2" s="8"/>
      <c r="L2" s="8"/>
    </row>
    <row r="3" spans="1:23" s="6" customFormat="1" ht="15" customHeight="1">
      <c r="A3" s="329" t="s">
        <v>3</v>
      </c>
      <c r="B3" s="318"/>
      <c r="C3" s="329" t="s">
        <v>4</v>
      </c>
      <c r="D3" s="338" t="s">
        <v>5</v>
      </c>
      <c r="E3" s="336" t="s">
        <v>6</v>
      </c>
      <c r="F3" s="331" t="s">
        <v>0</v>
      </c>
      <c r="G3" s="331"/>
      <c r="H3" s="331"/>
      <c r="I3" s="331"/>
      <c r="J3" s="331"/>
      <c r="K3" s="331"/>
      <c r="L3" s="331"/>
      <c r="M3" s="332" t="s">
        <v>1</v>
      </c>
      <c r="N3" s="333"/>
      <c r="O3" s="333"/>
      <c r="P3" s="333"/>
      <c r="Q3" s="333"/>
      <c r="R3" s="333"/>
      <c r="S3" s="333"/>
      <c r="T3" s="333"/>
      <c r="U3" s="333"/>
      <c r="V3" s="334" t="s">
        <v>2</v>
      </c>
      <c r="W3" s="335"/>
    </row>
    <row r="4" spans="1:23" s="11" customFormat="1" ht="63.75">
      <c r="A4" s="330"/>
      <c r="B4" s="320" t="s">
        <v>3</v>
      </c>
      <c r="C4" s="330"/>
      <c r="D4" s="339"/>
      <c r="E4" s="337"/>
      <c r="F4" s="319" t="s">
        <v>7</v>
      </c>
      <c r="G4" s="319" t="s">
        <v>8</v>
      </c>
      <c r="H4" s="319" t="s">
        <v>9</v>
      </c>
      <c r="I4" s="319" t="s">
        <v>10</v>
      </c>
      <c r="J4" s="319" t="s">
        <v>11</v>
      </c>
      <c r="K4" s="319" t="s">
        <v>12</v>
      </c>
      <c r="L4" s="319" t="s">
        <v>13</v>
      </c>
      <c r="M4" s="16" t="s">
        <v>14</v>
      </c>
      <c r="N4" s="17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17" t="s">
        <v>20</v>
      </c>
      <c r="T4" s="18" t="s">
        <v>21</v>
      </c>
      <c r="U4" s="18" t="s">
        <v>22</v>
      </c>
      <c r="V4" s="19" t="s">
        <v>23</v>
      </c>
      <c r="W4" s="20" t="s">
        <v>24</v>
      </c>
    </row>
    <row r="5" spans="1:23">
      <c r="A5" s="296">
        <v>1</v>
      </c>
      <c r="B5" s="297">
        <v>2059843</v>
      </c>
      <c r="C5" s="305" t="s">
        <v>311</v>
      </c>
      <c r="D5" s="299">
        <v>458</v>
      </c>
      <c r="E5" s="296" t="s">
        <v>69</v>
      </c>
      <c r="F5" s="300">
        <v>127527862.59999999</v>
      </c>
      <c r="G5" s="300">
        <v>17003254.5</v>
      </c>
      <c r="H5" s="300">
        <v>144531117.09999999</v>
      </c>
      <c r="I5" s="301">
        <v>76875606.700000003</v>
      </c>
      <c r="J5" s="301">
        <v>440475.9</v>
      </c>
      <c r="K5" s="301">
        <v>77316082.599999994</v>
      </c>
      <c r="L5" s="301">
        <v>67215034.5</v>
      </c>
      <c r="M5" s="301">
        <v>123729621.59999999</v>
      </c>
      <c r="N5" s="301">
        <v>92918095.599999994</v>
      </c>
      <c r="O5" s="301">
        <v>30811526</v>
      </c>
      <c r="P5" s="298">
        <v>836621.5</v>
      </c>
      <c r="Q5" s="298">
        <v>2035756.5</v>
      </c>
      <c r="R5" s="298">
        <v>332808.09999999998</v>
      </c>
      <c r="S5" s="298">
        <v>0</v>
      </c>
      <c r="T5" s="301">
        <v>6931229.7999999998</v>
      </c>
      <c r="U5" s="301">
        <v>23013969.300000001</v>
      </c>
      <c r="V5" s="302">
        <f t="shared" ref="V5:V36" si="0">(L5/W5)*1000</f>
        <v>1276.2703739850983</v>
      </c>
      <c r="W5" s="303">
        <v>52665200</v>
      </c>
    </row>
    <row r="6" spans="1:23">
      <c r="A6" s="296">
        <v>2</v>
      </c>
      <c r="B6" s="297">
        <v>2033046</v>
      </c>
      <c r="C6" s="305" t="s">
        <v>264</v>
      </c>
      <c r="D6" s="299">
        <v>514</v>
      </c>
      <c r="E6" s="296" t="s">
        <v>81</v>
      </c>
      <c r="F6" s="300">
        <v>44554731.899999999</v>
      </c>
      <c r="G6" s="300">
        <v>671549258.60000002</v>
      </c>
      <c r="H6" s="300">
        <v>716103990.5</v>
      </c>
      <c r="I6" s="301">
        <v>22954072.600000001</v>
      </c>
      <c r="J6" s="301">
        <v>303780840.69999999</v>
      </c>
      <c r="K6" s="301">
        <v>326734913.30000001</v>
      </c>
      <c r="L6" s="301">
        <v>389369077.19999999</v>
      </c>
      <c r="M6" s="301">
        <v>139782678.19999999</v>
      </c>
      <c r="N6" s="301">
        <v>121129193.2</v>
      </c>
      <c r="O6" s="301">
        <v>18653485</v>
      </c>
      <c r="P6" s="298">
        <v>4006831.6</v>
      </c>
      <c r="Q6" s="298">
        <v>3723694.3</v>
      </c>
      <c r="R6" s="298">
        <v>-504883.9</v>
      </c>
      <c r="S6" s="298">
        <v>0</v>
      </c>
      <c r="T6" s="301">
        <v>5680.4</v>
      </c>
      <c r="U6" s="301">
        <v>18426058</v>
      </c>
      <c r="V6" s="302">
        <f t="shared" si="0"/>
        <v>579.6062966855319</v>
      </c>
      <c r="W6" s="303">
        <v>671782000</v>
      </c>
    </row>
    <row r="7" spans="1:23">
      <c r="A7" s="296">
        <v>3</v>
      </c>
      <c r="B7" s="297">
        <v>2026899</v>
      </c>
      <c r="C7" s="305" t="s">
        <v>368</v>
      </c>
      <c r="D7" s="299">
        <v>90</v>
      </c>
      <c r="E7" s="296" t="s">
        <v>109</v>
      </c>
      <c r="F7" s="300">
        <v>83620895.5</v>
      </c>
      <c r="G7" s="300">
        <v>428625105.5</v>
      </c>
      <c r="H7" s="300">
        <v>512246001</v>
      </c>
      <c r="I7" s="301">
        <v>98630937.799999997</v>
      </c>
      <c r="J7" s="301">
        <v>30518284.100000001</v>
      </c>
      <c r="K7" s="301">
        <v>129149221.90000001</v>
      </c>
      <c r="L7" s="301">
        <v>383096779.10000002</v>
      </c>
      <c r="M7" s="301">
        <v>102290956.09999999</v>
      </c>
      <c r="N7" s="301">
        <v>63656889</v>
      </c>
      <c r="O7" s="301">
        <v>38634067.100000001</v>
      </c>
      <c r="P7" s="298">
        <v>1481346.3</v>
      </c>
      <c r="Q7" s="298">
        <v>28196474.800000001</v>
      </c>
      <c r="R7" s="298">
        <v>13354.3</v>
      </c>
      <c r="S7" s="298">
        <v>0</v>
      </c>
      <c r="T7" s="301">
        <v>2656563.4</v>
      </c>
      <c r="U7" s="301">
        <v>9275729.5</v>
      </c>
      <c r="V7" s="302">
        <f t="shared" si="0"/>
        <v>359.99193748474988</v>
      </c>
      <c r="W7" s="303">
        <v>1064181553</v>
      </c>
    </row>
    <row r="8" spans="1:23">
      <c r="A8" s="296">
        <v>4</v>
      </c>
      <c r="B8" s="297">
        <v>2077108</v>
      </c>
      <c r="C8" s="305" t="s">
        <v>247</v>
      </c>
      <c r="D8" s="299">
        <v>496</v>
      </c>
      <c r="E8" s="296" t="s">
        <v>77</v>
      </c>
      <c r="F8" s="300">
        <v>70251063.200000003</v>
      </c>
      <c r="G8" s="300">
        <v>95601566.400000006</v>
      </c>
      <c r="H8" s="300">
        <v>165852629.59999999</v>
      </c>
      <c r="I8" s="301">
        <v>6587887</v>
      </c>
      <c r="J8" s="301">
        <v>73915893.799999997</v>
      </c>
      <c r="K8" s="301">
        <v>80503780.799999997</v>
      </c>
      <c r="L8" s="301">
        <v>85348848.799999997</v>
      </c>
      <c r="M8" s="301">
        <v>20419949</v>
      </c>
      <c r="N8" s="301">
        <v>22567678.5</v>
      </c>
      <c r="O8" s="301">
        <v>-2147729.5</v>
      </c>
      <c r="P8" s="298">
        <v>691463</v>
      </c>
      <c r="Q8" s="298">
        <v>834990.3</v>
      </c>
      <c r="R8" s="298">
        <v>9710674.0999999996</v>
      </c>
      <c r="S8" s="298">
        <v>0</v>
      </c>
      <c r="T8" s="298">
        <v>287.10000000000002</v>
      </c>
      <c r="U8" s="301">
        <v>7419130.2000000002</v>
      </c>
      <c r="V8" s="302">
        <f t="shared" si="0"/>
        <v>844.90191877982431</v>
      </c>
      <c r="W8" s="303">
        <v>101016280</v>
      </c>
    </row>
    <row r="9" spans="1:23">
      <c r="A9" s="296">
        <v>5</v>
      </c>
      <c r="B9" s="297">
        <v>2048906</v>
      </c>
      <c r="C9" s="305" t="s">
        <v>282</v>
      </c>
      <c r="D9" s="299">
        <v>497</v>
      </c>
      <c r="E9" s="296" t="s">
        <v>193</v>
      </c>
      <c r="F9" s="300">
        <v>11928133</v>
      </c>
      <c r="G9" s="300">
        <v>206915562.69999999</v>
      </c>
      <c r="H9" s="300">
        <v>218843695.69999999</v>
      </c>
      <c r="I9" s="301">
        <v>1691992.8</v>
      </c>
      <c r="J9" s="301">
        <v>21257951.600000001</v>
      </c>
      <c r="K9" s="301">
        <v>22949944.399999999</v>
      </c>
      <c r="L9" s="301">
        <v>195893751.30000001</v>
      </c>
      <c r="M9" s="301">
        <v>67662138.400000006</v>
      </c>
      <c r="N9" s="301">
        <v>46719887</v>
      </c>
      <c r="O9" s="301">
        <v>20942251.399999999</v>
      </c>
      <c r="P9" s="298">
        <v>377859.4</v>
      </c>
      <c r="Q9" s="298">
        <v>13908560.199999999</v>
      </c>
      <c r="R9" s="298">
        <v>14.4</v>
      </c>
      <c r="S9" s="298">
        <v>0</v>
      </c>
      <c r="T9" s="301">
        <v>1451429.3</v>
      </c>
      <c r="U9" s="301">
        <v>5960135.7000000002</v>
      </c>
      <c r="V9" s="302">
        <f t="shared" si="0"/>
        <v>194.21130729024216</v>
      </c>
      <c r="W9" s="303">
        <v>1008662956</v>
      </c>
    </row>
    <row r="10" spans="1:23">
      <c r="A10" s="296">
        <v>6</v>
      </c>
      <c r="B10" s="297">
        <v>2030136</v>
      </c>
      <c r="C10" s="305" t="s">
        <v>279</v>
      </c>
      <c r="D10" s="299">
        <v>515</v>
      </c>
      <c r="E10" s="296" t="s">
        <v>82</v>
      </c>
      <c r="F10" s="300">
        <v>51884324.799999997</v>
      </c>
      <c r="G10" s="300">
        <v>245823604.19999999</v>
      </c>
      <c r="H10" s="300">
        <v>297707929</v>
      </c>
      <c r="I10" s="301">
        <v>45131741.200000003</v>
      </c>
      <c r="J10" s="301">
        <v>54625096</v>
      </c>
      <c r="K10" s="301">
        <v>99756837.200000003</v>
      </c>
      <c r="L10" s="301">
        <v>197951091.80000001</v>
      </c>
      <c r="M10" s="301">
        <v>221829853.80000001</v>
      </c>
      <c r="N10" s="301">
        <v>201299712.19999999</v>
      </c>
      <c r="O10" s="301">
        <v>20530141.600000001</v>
      </c>
      <c r="P10" s="298">
        <v>4471226.2</v>
      </c>
      <c r="Q10" s="298">
        <v>18655876.5</v>
      </c>
      <c r="R10" s="298">
        <v>-7.7</v>
      </c>
      <c r="S10" s="298">
        <v>0</v>
      </c>
      <c r="T10" s="301">
        <v>739671.3</v>
      </c>
      <c r="U10" s="301">
        <v>5605812.2999999998</v>
      </c>
      <c r="V10" s="302">
        <f t="shared" si="0"/>
        <v>4798.4653673672219</v>
      </c>
      <c r="W10" s="303">
        <v>41253000</v>
      </c>
    </row>
    <row r="11" spans="1:23">
      <c r="A11" s="296">
        <v>7</v>
      </c>
      <c r="B11" s="297">
        <v>3864006</v>
      </c>
      <c r="C11" s="305" t="s">
        <v>608</v>
      </c>
      <c r="D11" s="304">
        <v>542</v>
      </c>
      <c r="E11" s="321" t="s">
        <v>95</v>
      </c>
      <c r="F11" s="300">
        <v>3707907119.3000002</v>
      </c>
      <c r="G11" s="300">
        <v>300316547.69999999</v>
      </c>
      <c r="H11" s="300">
        <v>4008223667</v>
      </c>
      <c r="I11" s="300">
        <v>139751865.40000001</v>
      </c>
      <c r="J11" s="300">
        <v>3654525558.4000001</v>
      </c>
      <c r="K11" s="300">
        <v>3794277423.8000002</v>
      </c>
      <c r="L11" s="300">
        <v>213946243.19999999</v>
      </c>
      <c r="M11" s="305">
        <v>0</v>
      </c>
      <c r="N11" s="305">
        <v>0</v>
      </c>
      <c r="O11" s="305">
        <v>0</v>
      </c>
      <c r="P11" s="306">
        <v>165465676.40000001</v>
      </c>
      <c r="Q11" s="306">
        <v>151086613.90000001</v>
      </c>
      <c r="R11" s="307">
        <v>-270264.5</v>
      </c>
      <c r="S11" s="305">
        <v>0</v>
      </c>
      <c r="T11" s="306">
        <v>8613981.4000000004</v>
      </c>
      <c r="U11" s="300">
        <v>5494816.5999999996</v>
      </c>
      <c r="V11" s="308">
        <f t="shared" si="0"/>
        <v>10330.915896803952</v>
      </c>
      <c r="W11" s="303">
        <v>20709320</v>
      </c>
    </row>
    <row r="12" spans="1:23">
      <c r="A12" s="296">
        <v>8</v>
      </c>
      <c r="B12" s="297">
        <v>2052601</v>
      </c>
      <c r="C12" s="305" t="s">
        <v>747</v>
      </c>
      <c r="D12" s="299">
        <v>135</v>
      </c>
      <c r="E12" s="296" t="s">
        <v>29</v>
      </c>
      <c r="F12" s="300">
        <v>38083836.299999997</v>
      </c>
      <c r="G12" s="300">
        <v>24521213.199999999</v>
      </c>
      <c r="H12" s="300">
        <v>62605049.5</v>
      </c>
      <c r="I12" s="301">
        <v>11154982.9</v>
      </c>
      <c r="J12" s="301">
        <v>20999164.399999999</v>
      </c>
      <c r="K12" s="301">
        <v>32154147.300000001</v>
      </c>
      <c r="L12" s="301">
        <v>30450902.199999999</v>
      </c>
      <c r="M12" s="301">
        <v>37235013.200000003</v>
      </c>
      <c r="N12" s="301">
        <v>26160317.5</v>
      </c>
      <c r="O12" s="301">
        <v>11074695.699999999</v>
      </c>
      <c r="P12" s="298">
        <v>295388.79999999999</v>
      </c>
      <c r="Q12" s="298">
        <v>6104740.7000000002</v>
      </c>
      <c r="R12" s="298">
        <v>-153647.70000000001</v>
      </c>
      <c r="S12" s="298">
        <v>0</v>
      </c>
      <c r="T12" s="301">
        <v>923916.1</v>
      </c>
      <c r="U12" s="301">
        <v>4187780</v>
      </c>
      <c r="V12" s="302">
        <f t="shared" si="0"/>
        <v>88.520064534883716</v>
      </c>
      <c r="W12" s="303">
        <v>344000000</v>
      </c>
    </row>
    <row r="13" spans="1:23" s="15" customFormat="1">
      <c r="A13" s="321">
        <v>9</v>
      </c>
      <c r="B13" s="311">
        <v>2032317</v>
      </c>
      <c r="C13" s="305" t="s">
        <v>590</v>
      </c>
      <c r="D13" s="304">
        <v>553</v>
      </c>
      <c r="E13" s="321" t="s">
        <v>103</v>
      </c>
      <c r="F13" s="300">
        <v>64079698.299999997</v>
      </c>
      <c r="G13" s="300">
        <v>985209.7</v>
      </c>
      <c r="H13" s="300">
        <v>65064907.899999999</v>
      </c>
      <c r="I13" s="300">
        <v>4675057.5</v>
      </c>
      <c r="J13" s="300">
        <v>24736546.899999999</v>
      </c>
      <c r="K13" s="300">
        <v>29411604.399999999</v>
      </c>
      <c r="L13" s="300">
        <v>35653303.5</v>
      </c>
      <c r="M13" s="300">
        <v>7735918.2999999998</v>
      </c>
      <c r="N13" s="300">
        <v>1027190.1</v>
      </c>
      <c r="O13" s="300">
        <v>6708728.2000000002</v>
      </c>
      <c r="P13" s="305">
        <v>315941.42790000001</v>
      </c>
      <c r="Q13" s="306">
        <v>2601809.4049999998</v>
      </c>
      <c r="R13" s="305">
        <v>67102.608999999997</v>
      </c>
      <c r="S13" s="300">
        <v>256007.6</v>
      </c>
      <c r="T13" s="300">
        <v>727756.80000000005</v>
      </c>
      <c r="U13" s="300">
        <v>4018213.7</v>
      </c>
      <c r="V13" s="308">
        <f t="shared" si="0"/>
        <v>497.063130983392</v>
      </c>
      <c r="W13" s="313">
        <v>71727918</v>
      </c>
    </row>
    <row r="14" spans="1:23" s="327" customFormat="1">
      <c r="A14" s="296">
        <v>10</v>
      </c>
      <c r="B14" s="297">
        <v>2039664</v>
      </c>
      <c r="C14" s="305" t="s">
        <v>481</v>
      </c>
      <c r="D14" s="299">
        <v>354</v>
      </c>
      <c r="E14" s="296" t="s">
        <v>483</v>
      </c>
      <c r="F14" s="306">
        <v>276735428.64260006</v>
      </c>
      <c r="G14" s="306">
        <v>124757710.23649999</v>
      </c>
      <c r="H14" s="306">
        <v>401493138.87910002</v>
      </c>
      <c r="I14" s="324">
        <v>227826209.42539999</v>
      </c>
      <c r="J14" s="324">
        <v>92431278.230799988</v>
      </c>
      <c r="K14" s="324">
        <v>320257487.65619993</v>
      </c>
      <c r="L14" s="324">
        <v>81235651.222899988</v>
      </c>
      <c r="M14" s="324">
        <v>66844118.503600001</v>
      </c>
      <c r="N14" s="325">
        <v>44216197.092500001</v>
      </c>
      <c r="O14" s="325">
        <v>22627921.4111</v>
      </c>
      <c r="P14" s="324">
        <v>334956.90819999995</v>
      </c>
      <c r="Q14" s="326">
        <f>SUM(P11:P14)</f>
        <v>166411963.5361</v>
      </c>
      <c r="R14" s="324">
        <v>-662102.32759999996</v>
      </c>
      <c r="S14" s="298">
        <v>0</v>
      </c>
      <c r="T14" s="324">
        <v>840684.7487</v>
      </c>
      <c r="U14" s="324">
        <v>3987454.3755000001</v>
      </c>
      <c r="V14" s="302">
        <f t="shared" si="0"/>
        <v>104.13325157961189</v>
      </c>
      <c r="W14" s="298">
        <v>780112500</v>
      </c>
    </row>
    <row r="15" spans="1:23">
      <c r="A15" s="296">
        <v>11</v>
      </c>
      <c r="B15" s="297">
        <v>2015358</v>
      </c>
      <c r="C15" s="305" t="s">
        <v>599</v>
      </c>
      <c r="D15" s="304">
        <v>547</v>
      </c>
      <c r="E15" s="321" t="s">
        <v>99</v>
      </c>
      <c r="F15" s="300">
        <v>41974228.299999997</v>
      </c>
      <c r="G15" s="300">
        <v>669738.6</v>
      </c>
      <c r="H15" s="300">
        <v>42643966.899999999</v>
      </c>
      <c r="I15" s="300">
        <v>3286923.5</v>
      </c>
      <c r="J15" s="300">
        <v>21058261.600000001</v>
      </c>
      <c r="K15" s="300">
        <v>24345185.100000001</v>
      </c>
      <c r="L15" s="300">
        <v>18298781.800000001</v>
      </c>
      <c r="M15" s="300">
        <v>18156407.600000001</v>
      </c>
      <c r="N15" s="300">
        <v>13224627.6</v>
      </c>
      <c r="O15" s="300">
        <v>4931780</v>
      </c>
      <c r="P15" s="305">
        <v>1779279.1</v>
      </c>
      <c r="Q15" s="305">
        <v>2916721.2</v>
      </c>
      <c r="R15" s="305">
        <v>-1820.8</v>
      </c>
      <c r="S15" s="305">
        <v>0</v>
      </c>
      <c r="T15" s="300">
        <v>387747</v>
      </c>
      <c r="U15" s="300">
        <v>3404770.1</v>
      </c>
      <c r="V15" s="308">
        <f t="shared" si="0"/>
        <v>2931.0803944760037</v>
      </c>
      <c r="W15" s="303">
        <v>6243016</v>
      </c>
    </row>
    <row r="16" spans="1:23">
      <c r="A16" s="296">
        <v>12</v>
      </c>
      <c r="B16" s="297">
        <v>2015471</v>
      </c>
      <c r="C16" s="305" t="s">
        <v>269</v>
      </c>
      <c r="D16" s="299">
        <v>504</v>
      </c>
      <c r="E16" s="296" t="s">
        <v>80</v>
      </c>
      <c r="F16" s="300">
        <v>23260503.600000001</v>
      </c>
      <c r="G16" s="300">
        <v>230056531.59999999</v>
      </c>
      <c r="H16" s="300">
        <v>253317035.19999999</v>
      </c>
      <c r="I16" s="301">
        <v>2277031.2999999998</v>
      </c>
      <c r="J16" s="301">
        <v>23934030.100000001</v>
      </c>
      <c r="K16" s="301">
        <v>26211061.399999999</v>
      </c>
      <c r="L16" s="301">
        <v>227105973.80000001</v>
      </c>
      <c r="M16" s="301">
        <v>58204426.700000003</v>
      </c>
      <c r="N16" s="301">
        <v>51656462.200000003</v>
      </c>
      <c r="O16" s="301">
        <v>6547964.5</v>
      </c>
      <c r="P16" s="298">
        <v>390064.8</v>
      </c>
      <c r="Q16" s="298">
        <v>4225268.9000000004</v>
      </c>
      <c r="R16" s="298">
        <v>1253.5999999999999</v>
      </c>
      <c r="S16" s="298">
        <v>0</v>
      </c>
      <c r="T16" s="301">
        <v>11491.7</v>
      </c>
      <c r="U16" s="301">
        <v>2702522.3</v>
      </c>
      <c r="V16" s="302">
        <f t="shared" si="0"/>
        <v>228.56241257711395</v>
      </c>
      <c r="W16" s="303">
        <v>993627829</v>
      </c>
    </row>
    <row r="17" spans="1:23">
      <c r="A17" s="296">
        <v>13</v>
      </c>
      <c r="B17" s="297">
        <v>2041219</v>
      </c>
      <c r="C17" s="305" t="s">
        <v>592</v>
      </c>
      <c r="D17" s="304">
        <v>545</v>
      </c>
      <c r="E17" s="321" t="s">
        <v>98</v>
      </c>
      <c r="F17" s="300">
        <v>47185097.299999997</v>
      </c>
      <c r="G17" s="306">
        <v>795147.6</v>
      </c>
      <c r="H17" s="300">
        <v>47980244.899999999</v>
      </c>
      <c r="I17" s="306">
        <v>30133673.699999999</v>
      </c>
      <c r="J17" s="306">
        <v>3000000</v>
      </c>
      <c r="K17" s="306">
        <v>33133673.699999999</v>
      </c>
      <c r="L17" s="306">
        <v>14846571.199999999</v>
      </c>
      <c r="M17" s="300">
        <v>7704947.7999999998</v>
      </c>
      <c r="N17" s="306">
        <v>1667803.9</v>
      </c>
      <c r="O17" s="305">
        <v>6037143.9000000004</v>
      </c>
      <c r="P17" s="306">
        <v>44008.1</v>
      </c>
      <c r="Q17" s="306">
        <v>3223947.4</v>
      </c>
      <c r="R17" s="309">
        <v>-1848.2</v>
      </c>
      <c r="S17" s="305">
        <v>0</v>
      </c>
      <c r="T17" s="300">
        <v>297074.5</v>
      </c>
      <c r="U17" s="306">
        <v>2558281.9</v>
      </c>
      <c r="V17" s="308">
        <f t="shared" si="0"/>
        <v>18.558214</v>
      </c>
      <c r="W17" s="303">
        <v>800000000</v>
      </c>
    </row>
    <row r="18" spans="1:23" s="15" customFormat="1">
      <c r="A18" s="321">
        <v>14</v>
      </c>
      <c r="B18" s="311">
        <v>2003937</v>
      </c>
      <c r="C18" s="305" t="s">
        <v>788</v>
      </c>
      <c r="D18" s="299">
        <v>549</v>
      </c>
      <c r="E18" s="296" t="s">
        <v>101</v>
      </c>
      <c r="F18" s="300">
        <v>15805407.1</v>
      </c>
      <c r="G18" s="300">
        <v>10978585.6</v>
      </c>
      <c r="H18" s="300">
        <v>26783992.699999999</v>
      </c>
      <c r="I18" s="301">
        <v>1197537.6000000001</v>
      </c>
      <c r="J18" s="301">
        <v>2750000</v>
      </c>
      <c r="K18" s="301">
        <v>3947537.6</v>
      </c>
      <c r="L18" s="301">
        <v>22836455.100000001</v>
      </c>
      <c r="M18" s="301">
        <v>10456183.5</v>
      </c>
      <c r="N18" s="301">
        <v>7173872.9000000004</v>
      </c>
      <c r="O18" s="301">
        <v>3282310.6</v>
      </c>
      <c r="P18" s="298">
        <v>186950.9</v>
      </c>
      <c r="Q18" s="298">
        <v>1158103.8999999999</v>
      </c>
      <c r="R18" s="298">
        <v>-8239.7000000000007</v>
      </c>
      <c r="S18" s="298">
        <v>0</v>
      </c>
      <c r="T18" s="301">
        <v>235813.9</v>
      </c>
      <c r="U18" s="301">
        <v>2067104</v>
      </c>
      <c r="V18" s="302">
        <f t="shared" si="0"/>
        <v>114.18227550000002</v>
      </c>
      <c r="W18" s="303">
        <v>200000000</v>
      </c>
    </row>
    <row r="19" spans="1:23">
      <c r="A19" s="296">
        <v>15</v>
      </c>
      <c r="B19" s="297">
        <v>2013975</v>
      </c>
      <c r="C19" s="305" t="s">
        <v>371</v>
      </c>
      <c r="D19" s="304">
        <v>548</v>
      </c>
      <c r="E19" s="321" t="s">
        <v>100</v>
      </c>
      <c r="F19" s="300">
        <v>20723014.199999999</v>
      </c>
      <c r="G19" s="300">
        <v>1233328</v>
      </c>
      <c r="H19" s="300">
        <v>21956342.199999999</v>
      </c>
      <c r="I19" s="300">
        <v>2306340.1</v>
      </c>
      <c r="J19" s="300">
        <v>8212085.9000000004</v>
      </c>
      <c r="K19" s="300">
        <v>10518426</v>
      </c>
      <c r="L19" s="300">
        <v>11437916.199999999</v>
      </c>
      <c r="M19" s="300">
        <v>5827787.4000000004</v>
      </c>
      <c r="N19" s="300">
        <v>4185043.5</v>
      </c>
      <c r="O19" s="300">
        <f>M19-N19</f>
        <v>1642743.9000000004</v>
      </c>
      <c r="P19" s="305">
        <v>64136.5</v>
      </c>
      <c r="Q19" s="305">
        <v>1951317.6</v>
      </c>
      <c r="R19" s="305">
        <v>1663487.6</v>
      </c>
      <c r="S19" s="300">
        <v>81555.100000000006</v>
      </c>
      <c r="T19" s="300">
        <v>167487.79999999999</v>
      </c>
      <c r="U19" s="300">
        <v>1333117.7</v>
      </c>
      <c r="V19" s="308">
        <f t="shared" si="0"/>
        <v>457.51664799999998</v>
      </c>
      <c r="W19" s="313">
        <v>25000000</v>
      </c>
    </row>
    <row r="20" spans="1:23">
      <c r="A20" s="296">
        <v>16</v>
      </c>
      <c r="B20" s="297">
        <v>2069229</v>
      </c>
      <c r="C20" s="305" t="s">
        <v>506</v>
      </c>
      <c r="D20" s="299">
        <v>88</v>
      </c>
      <c r="E20" s="296" t="s">
        <v>148</v>
      </c>
      <c r="F20" s="300">
        <v>4073732.9</v>
      </c>
      <c r="G20" s="300">
        <v>7752661.7000000002</v>
      </c>
      <c r="H20" s="300">
        <v>11826394.6</v>
      </c>
      <c r="I20" s="301">
        <v>742008.6</v>
      </c>
      <c r="J20" s="298">
        <v>27.4</v>
      </c>
      <c r="K20" s="301">
        <v>742036</v>
      </c>
      <c r="L20" s="301">
        <v>11084358.6</v>
      </c>
      <c r="M20" s="298">
        <v>0</v>
      </c>
      <c r="N20" s="298">
        <v>0</v>
      </c>
      <c r="O20" s="298">
        <v>0</v>
      </c>
      <c r="P20" s="298">
        <v>2259233.9</v>
      </c>
      <c r="Q20" s="298">
        <v>994982.6</v>
      </c>
      <c r="R20" s="298">
        <v>-1325</v>
      </c>
      <c r="S20" s="298">
        <v>0</v>
      </c>
      <c r="T20" s="301">
        <v>130616.7</v>
      </c>
      <c r="U20" s="301">
        <v>1132309.6000000001</v>
      </c>
      <c r="V20" s="302">
        <f t="shared" si="0"/>
        <v>6847.7594144379009</v>
      </c>
      <c r="W20" s="303">
        <v>1618684</v>
      </c>
    </row>
    <row r="21" spans="1:23">
      <c r="A21" s="296">
        <v>17</v>
      </c>
      <c r="B21" s="297">
        <v>2074575</v>
      </c>
      <c r="C21" s="305" t="s">
        <v>382</v>
      </c>
      <c r="D21" s="304">
        <v>550</v>
      </c>
      <c r="E21" s="328" t="s">
        <v>114</v>
      </c>
      <c r="F21" s="300">
        <v>17918527.399999999</v>
      </c>
      <c r="G21" s="310">
        <v>741247</v>
      </c>
      <c r="H21" s="306">
        <v>18659774.399999999</v>
      </c>
      <c r="I21" s="306">
        <v>7355648.2000000002</v>
      </c>
      <c r="J21" s="300">
        <v>1727743.8</v>
      </c>
      <c r="K21" s="310">
        <v>9083392</v>
      </c>
      <c r="L21" s="300">
        <v>9576382.4000000004</v>
      </c>
      <c r="M21" s="305"/>
      <c r="N21" s="300"/>
      <c r="O21" s="300"/>
      <c r="P21" s="300">
        <v>2771784.3</v>
      </c>
      <c r="Q21" s="306">
        <v>1578059</v>
      </c>
      <c r="R21" s="305"/>
      <c r="S21" s="305"/>
      <c r="T21" s="300">
        <v>123193.1</v>
      </c>
      <c r="U21" s="306">
        <v>1070532.2</v>
      </c>
      <c r="V21" s="308">
        <f t="shared" si="0"/>
        <v>34.201365714285721</v>
      </c>
      <c r="W21" s="303">
        <v>280000000</v>
      </c>
    </row>
    <row r="22" spans="1:23" s="15" customFormat="1">
      <c r="A22" s="296">
        <v>18</v>
      </c>
      <c r="B22" s="311">
        <v>2033003</v>
      </c>
      <c r="C22" s="305" t="s">
        <v>274</v>
      </c>
      <c r="D22" s="299">
        <v>536</v>
      </c>
      <c r="E22" s="296" t="s">
        <v>167</v>
      </c>
      <c r="F22" s="300">
        <v>669344156.5</v>
      </c>
      <c r="G22" s="300">
        <v>418481098.89999998</v>
      </c>
      <c r="H22" s="300">
        <v>1087825255.4000001</v>
      </c>
      <c r="I22" s="301">
        <v>12724615.199999999</v>
      </c>
      <c r="J22" s="301">
        <v>352440709</v>
      </c>
      <c r="K22" s="301">
        <v>365165324.19999999</v>
      </c>
      <c r="L22" s="301">
        <v>722659931.20000005</v>
      </c>
      <c r="M22" s="301">
        <v>2121603.9</v>
      </c>
      <c r="N22" s="301">
        <v>1554007.9</v>
      </c>
      <c r="O22" s="301">
        <v>567596</v>
      </c>
      <c r="P22" s="298">
        <v>3983236.8</v>
      </c>
      <c r="Q22" s="298">
        <v>2839745.1</v>
      </c>
      <c r="R22" s="298">
        <v>-618964.69999999995</v>
      </c>
      <c r="S22" s="298">
        <v>0</v>
      </c>
      <c r="T22" s="301">
        <v>112161.3</v>
      </c>
      <c r="U22" s="301">
        <v>979961.7</v>
      </c>
      <c r="V22" s="302">
        <f t="shared" si="0"/>
        <v>3486.4453422232086</v>
      </c>
      <c r="W22" s="303">
        <v>207277000</v>
      </c>
    </row>
    <row r="23" spans="1:23">
      <c r="A23" s="296">
        <v>19</v>
      </c>
      <c r="B23" s="297">
        <v>2090988</v>
      </c>
      <c r="C23" s="305" t="s">
        <v>399</v>
      </c>
      <c r="D23" s="299">
        <v>476</v>
      </c>
      <c r="E23" s="296" t="s">
        <v>120</v>
      </c>
      <c r="F23" s="300">
        <v>9428286.5</v>
      </c>
      <c r="G23" s="300">
        <v>5326260.9000000004</v>
      </c>
      <c r="H23" s="300">
        <v>14754547.4</v>
      </c>
      <c r="I23" s="301">
        <v>2123823.7000000002</v>
      </c>
      <c r="J23" s="298">
        <v>0</v>
      </c>
      <c r="K23" s="301">
        <v>2123823.7000000002</v>
      </c>
      <c r="L23" s="301">
        <v>12630723.699999999</v>
      </c>
      <c r="M23" s="301">
        <v>9585000.6999999993</v>
      </c>
      <c r="N23" s="301">
        <v>8144475.7000000002</v>
      </c>
      <c r="O23" s="301">
        <v>1440525</v>
      </c>
      <c r="P23" s="298">
        <v>0</v>
      </c>
      <c r="Q23" s="298">
        <v>451337.3</v>
      </c>
      <c r="R23" s="298">
        <v>-6831.1</v>
      </c>
      <c r="S23" s="301">
        <v>-6319.1</v>
      </c>
      <c r="T23" s="301">
        <v>97603.7</v>
      </c>
      <c r="U23" s="301">
        <v>878433.8</v>
      </c>
      <c r="V23" s="302">
        <f t="shared" si="0"/>
        <v>310627.21213909792</v>
      </c>
      <c r="W23" s="303">
        <v>40662</v>
      </c>
    </row>
    <row r="24" spans="1:23">
      <c r="A24" s="296">
        <v>20</v>
      </c>
      <c r="B24" s="297">
        <v>2025779</v>
      </c>
      <c r="C24" s="305" t="s">
        <v>772</v>
      </c>
      <c r="D24" s="299">
        <v>22</v>
      </c>
      <c r="E24" s="296" t="s">
        <v>42</v>
      </c>
      <c r="F24" s="300">
        <v>14033079.9</v>
      </c>
      <c r="G24" s="300">
        <v>48473873.600000001</v>
      </c>
      <c r="H24" s="300">
        <v>62506953.5</v>
      </c>
      <c r="I24" s="301">
        <v>10439623.5</v>
      </c>
      <c r="J24" s="301">
        <v>4273042.9000000004</v>
      </c>
      <c r="K24" s="301">
        <v>14712666.4</v>
      </c>
      <c r="L24" s="301">
        <v>47794287.100000001</v>
      </c>
      <c r="M24" s="301">
        <v>25319500.800000001</v>
      </c>
      <c r="N24" s="301">
        <v>19211739.199999999</v>
      </c>
      <c r="O24" s="301">
        <v>6107761.5999999996</v>
      </c>
      <c r="P24" s="298">
        <v>0</v>
      </c>
      <c r="Q24" s="298">
        <v>5097691.7</v>
      </c>
      <c r="R24" s="298">
        <v>0</v>
      </c>
      <c r="S24" s="301">
        <v>-157870.79999999999</v>
      </c>
      <c r="T24" s="301">
        <v>101007</v>
      </c>
      <c r="U24" s="301">
        <v>751192.1</v>
      </c>
      <c r="V24" s="302">
        <f t="shared" si="0"/>
        <v>46687.649738254164</v>
      </c>
      <c r="W24" s="303">
        <v>1023703</v>
      </c>
    </row>
    <row r="25" spans="1:23" s="15" customFormat="1">
      <c r="A25" s="296">
        <v>21</v>
      </c>
      <c r="B25" s="311">
        <v>2032465</v>
      </c>
      <c r="C25" s="305" t="s">
        <v>859</v>
      </c>
      <c r="D25" s="299">
        <v>402</v>
      </c>
      <c r="E25" s="296" t="s">
        <v>62</v>
      </c>
      <c r="F25" s="300">
        <v>5832592.5999999996</v>
      </c>
      <c r="G25" s="300">
        <v>12010055.199999999</v>
      </c>
      <c r="H25" s="300">
        <v>17842647.800000001</v>
      </c>
      <c r="I25" s="301">
        <v>5499544.2000000002</v>
      </c>
      <c r="J25" s="301">
        <v>920331.2</v>
      </c>
      <c r="K25" s="301">
        <v>6419875.4000000004</v>
      </c>
      <c r="L25" s="301">
        <v>11422772.4</v>
      </c>
      <c r="M25" s="301">
        <v>4344694.5</v>
      </c>
      <c r="N25" s="301">
        <v>2898709.5</v>
      </c>
      <c r="O25" s="301">
        <v>1445985</v>
      </c>
      <c r="P25" s="298">
        <v>20376.7</v>
      </c>
      <c r="Q25" s="298">
        <v>681266.7</v>
      </c>
      <c r="R25" s="298">
        <v>-12.5</v>
      </c>
      <c r="S25" s="298">
        <v>0</v>
      </c>
      <c r="T25" s="301">
        <v>41975.1</v>
      </c>
      <c r="U25" s="301">
        <v>743107.4</v>
      </c>
      <c r="V25" s="302">
        <f t="shared" si="0"/>
        <v>725.98367886514723</v>
      </c>
      <c r="W25" s="303">
        <v>15734200</v>
      </c>
    </row>
    <row r="26" spans="1:23">
      <c r="A26" s="296">
        <v>22</v>
      </c>
      <c r="B26" s="297">
        <v>2061287</v>
      </c>
      <c r="C26" s="305" t="s">
        <v>778</v>
      </c>
      <c r="D26" s="299">
        <v>441</v>
      </c>
      <c r="E26" s="296" t="s">
        <v>64</v>
      </c>
      <c r="F26" s="300">
        <v>58135432.100000001</v>
      </c>
      <c r="G26" s="300">
        <v>4170938.2</v>
      </c>
      <c r="H26" s="300">
        <v>62306370.299999997</v>
      </c>
      <c r="I26" s="301">
        <v>51000267</v>
      </c>
      <c r="J26" s="301">
        <v>1615.2</v>
      </c>
      <c r="K26" s="301">
        <v>51001882.200000003</v>
      </c>
      <c r="L26" s="301">
        <v>11304488.1</v>
      </c>
      <c r="M26" s="301">
        <v>44719919.299999997</v>
      </c>
      <c r="N26" s="301">
        <v>41132789.299999997</v>
      </c>
      <c r="O26" s="301">
        <v>3587130</v>
      </c>
      <c r="P26" s="298">
        <v>436223.4</v>
      </c>
      <c r="Q26" s="298">
        <v>3206004</v>
      </c>
      <c r="R26" s="298">
        <v>-30398.799999999999</v>
      </c>
      <c r="S26" s="298">
        <v>0</v>
      </c>
      <c r="T26" s="301">
        <v>78695.100000000006</v>
      </c>
      <c r="U26" s="301">
        <v>708255.5</v>
      </c>
      <c r="V26" s="302">
        <f t="shared" si="0"/>
        <v>7813.6851782091644</v>
      </c>
      <c r="W26" s="303">
        <v>1446755</v>
      </c>
    </row>
    <row r="27" spans="1:23">
      <c r="A27" s="296">
        <v>23</v>
      </c>
      <c r="B27" s="297">
        <v>2024489</v>
      </c>
      <c r="C27" s="305" t="s">
        <v>255</v>
      </c>
      <c r="D27" s="299">
        <v>498</v>
      </c>
      <c r="E27" s="296" t="s">
        <v>129</v>
      </c>
      <c r="F27" s="300">
        <v>2338562.6</v>
      </c>
      <c r="G27" s="300">
        <v>19679641.699999999</v>
      </c>
      <c r="H27" s="300">
        <v>22018204.300000001</v>
      </c>
      <c r="I27" s="301">
        <v>965650</v>
      </c>
      <c r="J27" s="301">
        <v>13124.2</v>
      </c>
      <c r="K27" s="301">
        <v>978774.2</v>
      </c>
      <c r="L27" s="301">
        <v>21039430.100000001</v>
      </c>
      <c r="M27" s="301">
        <v>5778741.9000000004</v>
      </c>
      <c r="N27" s="301">
        <v>3235945.1</v>
      </c>
      <c r="O27" s="301">
        <v>2542796.7999999998</v>
      </c>
      <c r="P27" s="298">
        <v>112783.1</v>
      </c>
      <c r="Q27" s="298">
        <v>1819532.2</v>
      </c>
      <c r="R27" s="298">
        <v>0</v>
      </c>
      <c r="S27" s="301">
        <v>-85316.7</v>
      </c>
      <c r="T27" s="301">
        <v>83604.800000000003</v>
      </c>
      <c r="U27" s="301">
        <v>667126.19999999995</v>
      </c>
      <c r="V27" s="302">
        <f t="shared" si="0"/>
        <v>219.17889237592556</v>
      </c>
      <c r="W27" s="303">
        <v>95992045</v>
      </c>
    </row>
    <row r="28" spans="1:23">
      <c r="A28" s="296">
        <v>24</v>
      </c>
      <c r="B28" s="297">
        <v>2042134</v>
      </c>
      <c r="C28" s="305" t="s">
        <v>257</v>
      </c>
      <c r="D28" s="299">
        <v>526</v>
      </c>
      <c r="E28" s="296" t="s">
        <v>130</v>
      </c>
      <c r="F28" s="300">
        <v>291174070.89999998</v>
      </c>
      <c r="G28" s="300">
        <v>96416863.200000003</v>
      </c>
      <c r="H28" s="300">
        <v>387590934.10000002</v>
      </c>
      <c r="I28" s="301">
        <v>235975683.69999999</v>
      </c>
      <c r="J28" s="301">
        <v>168326415.19999999</v>
      </c>
      <c r="K28" s="301">
        <v>404302098.89999998</v>
      </c>
      <c r="L28" s="301">
        <v>-16711164.800000001</v>
      </c>
      <c r="M28" s="301">
        <v>103218743.7</v>
      </c>
      <c r="N28" s="301">
        <v>46237287</v>
      </c>
      <c r="O28" s="301">
        <v>56981456.700000003</v>
      </c>
      <c r="P28" s="298">
        <v>70579.199999999997</v>
      </c>
      <c r="Q28" s="298">
        <v>55747290.200000003</v>
      </c>
      <c r="R28" s="298">
        <v>-240497.4</v>
      </c>
      <c r="S28" s="301">
        <v>-311394.5</v>
      </c>
      <c r="T28" s="301">
        <v>99990.2</v>
      </c>
      <c r="U28" s="301">
        <v>652863.6</v>
      </c>
      <c r="V28" s="302">
        <f t="shared" si="0"/>
        <v>-782.60294234449441</v>
      </c>
      <c r="W28" s="303">
        <v>21353312</v>
      </c>
    </row>
    <row r="29" spans="1:23">
      <c r="A29" s="296">
        <v>25</v>
      </c>
      <c r="B29" s="297">
        <v>2105853</v>
      </c>
      <c r="C29" s="305" t="s">
        <v>302</v>
      </c>
      <c r="D29" s="299">
        <v>444</v>
      </c>
      <c r="E29" s="296" t="s">
        <v>66</v>
      </c>
      <c r="F29" s="300">
        <v>3300375.7</v>
      </c>
      <c r="G29" s="300">
        <v>1953691.6</v>
      </c>
      <c r="H29" s="300">
        <v>5254067.3</v>
      </c>
      <c r="I29" s="301">
        <v>1343313.8</v>
      </c>
      <c r="J29" s="301">
        <v>801060.7</v>
      </c>
      <c r="K29" s="301">
        <v>2144374.5</v>
      </c>
      <c r="L29" s="301">
        <v>3109692.8</v>
      </c>
      <c r="M29" s="301">
        <v>2091166.1</v>
      </c>
      <c r="N29" s="301">
        <v>1204599.8999999999</v>
      </c>
      <c r="O29" s="301">
        <v>886566.2</v>
      </c>
      <c r="P29" s="298">
        <v>0</v>
      </c>
      <c r="Q29" s="298">
        <v>189344.6</v>
      </c>
      <c r="R29" s="298">
        <v>0</v>
      </c>
      <c r="S29" s="301">
        <v>-17231</v>
      </c>
      <c r="T29" s="301">
        <v>67999</v>
      </c>
      <c r="U29" s="301">
        <v>611991.6</v>
      </c>
      <c r="V29" s="302">
        <f t="shared" si="0"/>
        <v>3748.3248997736318</v>
      </c>
      <c r="W29" s="303">
        <v>829622</v>
      </c>
    </row>
    <row r="30" spans="1:23">
      <c r="A30" s="296">
        <v>26</v>
      </c>
      <c r="B30" s="297">
        <v>2050374</v>
      </c>
      <c r="C30" s="305" t="s">
        <v>475</v>
      </c>
      <c r="D30" s="299">
        <v>528</v>
      </c>
      <c r="E30" s="296" t="s">
        <v>89</v>
      </c>
      <c r="F30" s="300">
        <v>1938251.2</v>
      </c>
      <c r="G30" s="300">
        <v>6608650.0999999996</v>
      </c>
      <c r="H30" s="300">
        <v>8546901.3000000007</v>
      </c>
      <c r="I30" s="301">
        <v>209334.39999999999</v>
      </c>
      <c r="J30" s="298">
        <v>0</v>
      </c>
      <c r="K30" s="301">
        <v>209334.39999999999</v>
      </c>
      <c r="L30" s="301">
        <v>8337566.9000000004</v>
      </c>
      <c r="M30" s="301">
        <v>704626.4</v>
      </c>
      <c r="N30" s="298">
        <v>0</v>
      </c>
      <c r="O30" s="301">
        <v>704626.4</v>
      </c>
      <c r="P30" s="298">
        <v>190935.7</v>
      </c>
      <c r="Q30" s="298">
        <v>360188.4</v>
      </c>
      <c r="R30" s="298">
        <v>4.5999999999999996</v>
      </c>
      <c r="S30" s="298">
        <v>0</v>
      </c>
      <c r="T30" s="301">
        <v>54037.4</v>
      </c>
      <c r="U30" s="301">
        <v>481340.9</v>
      </c>
      <c r="V30" s="302">
        <f t="shared" si="0"/>
        <v>106.15289451443294</v>
      </c>
      <c r="W30" s="303">
        <v>78543001</v>
      </c>
    </row>
    <row r="31" spans="1:23">
      <c r="A31" s="296">
        <v>27</v>
      </c>
      <c r="B31" s="297">
        <v>2097893</v>
      </c>
      <c r="C31" s="305" t="s">
        <v>357</v>
      </c>
      <c r="D31" s="304">
        <v>227</v>
      </c>
      <c r="E31" s="321" t="s">
        <v>43</v>
      </c>
      <c r="F31" s="300">
        <v>17008447.300000001</v>
      </c>
      <c r="G31" s="300">
        <v>18045123.5</v>
      </c>
      <c r="H31" s="300">
        <v>35053570.799999997</v>
      </c>
      <c r="I31" s="300">
        <v>18865046.800000001</v>
      </c>
      <c r="J31" s="300">
        <v>5814786.7000000002</v>
      </c>
      <c r="K31" s="300">
        <v>24679833.5</v>
      </c>
      <c r="L31" s="300">
        <v>10373737.300000001</v>
      </c>
      <c r="M31" s="300">
        <v>18699209.699999999</v>
      </c>
      <c r="N31" s="300">
        <v>16757765.1</v>
      </c>
      <c r="O31" s="300">
        <v>1941444.6</v>
      </c>
      <c r="P31" s="305">
        <v>782</v>
      </c>
      <c r="Q31" s="305">
        <v>1497990.6</v>
      </c>
      <c r="R31" s="305">
        <v>24366</v>
      </c>
      <c r="S31" s="305">
        <v>0</v>
      </c>
      <c r="T31" s="300">
        <v>4642.5</v>
      </c>
      <c r="U31" s="300">
        <v>463959.5</v>
      </c>
      <c r="V31" s="308">
        <f t="shared" si="0"/>
        <v>191563.4830941961</v>
      </c>
      <c r="W31" s="303">
        <v>54153</v>
      </c>
    </row>
    <row r="32" spans="1:23">
      <c r="A32" s="296">
        <v>28</v>
      </c>
      <c r="B32" s="297">
        <v>2011697</v>
      </c>
      <c r="C32" s="305" t="s">
        <v>717</v>
      </c>
      <c r="D32" s="299">
        <v>530</v>
      </c>
      <c r="E32" s="296" t="s">
        <v>90</v>
      </c>
      <c r="F32" s="300">
        <v>14052082.5</v>
      </c>
      <c r="G32" s="300">
        <v>6436486.7999999998</v>
      </c>
      <c r="H32" s="300">
        <v>20488569.300000001</v>
      </c>
      <c r="I32" s="301">
        <v>4817194.9000000004</v>
      </c>
      <c r="J32" s="301">
        <v>7235863.2999999998</v>
      </c>
      <c r="K32" s="301">
        <v>12053058.199999999</v>
      </c>
      <c r="L32" s="301">
        <v>8435511.0999999996</v>
      </c>
      <c r="M32" s="301">
        <v>5340055.0999999996</v>
      </c>
      <c r="N32" s="301">
        <v>3486826.3</v>
      </c>
      <c r="O32" s="301">
        <v>1853228.8</v>
      </c>
      <c r="P32" s="298">
        <v>76836.100000000006</v>
      </c>
      <c r="Q32" s="298">
        <v>1468240.8</v>
      </c>
      <c r="R32" s="298">
        <v>-5.7</v>
      </c>
      <c r="S32" s="298">
        <v>0</v>
      </c>
      <c r="T32" s="298">
        <v>4.0999999999999996</v>
      </c>
      <c r="U32" s="301">
        <v>461814.3</v>
      </c>
      <c r="V32" s="302">
        <f t="shared" si="0"/>
        <v>107.21363200949106</v>
      </c>
      <c r="W32" s="303">
        <v>78679464</v>
      </c>
    </row>
    <row r="33" spans="1:23">
      <c r="A33" s="296">
        <v>29</v>
      </c>
      <c r="B33" s="297">
        <v>2018942</v>
      </c>
      <c r="C33" s="305" t="s">
        <v>602</v>
      </c>
      <c r="D33" s="299">
        <v>208</v>
      </c>
      <c r="E33" s="296" t="s">
        <v>41</v>
      </c>
      <c r="F33" s="300">
        <v>8512986.1999999993</v>
      </c>
      <c r="G33" s="300">
        <v>2249260.7999999998</v>
      </c>
      <c r="H33" s="300">
        <v>10762247</v>
      </c>
      <c r="I33" s="301">
        <v>7802286.7999999998</v>
      </c>
      <c r="J33" s="298">
        <v>0</v>
      </c>
      <c r="K33" s="301">
        <v>7802286.7999999998</v>
      </c>
      <c r="L33" s="301">
        <v>2959960.2</v>
      </c>
      <c r="M33" s="301">
        <v>11327248</v>
      </c>
      <c r="N33" s="301">
        <v>11052981</v>
      </c>
      <c r="O33" s="301">
        <v>274267</v>
      </c>
      <c r="P33" s="298">
        <v>1313326.3999999999</v>
      </c>
      <c r="Q33" s="298">
        <v>1103579.3999999999</v>
      </c>
      <c r="R33" s="298">
        <v>1092</v>
      </c>
      <c r="S33" s="298">
        <v>0</v>
      </c>
      <c r="T33" s="301">
        <v>48510.6</v>
      </c>
      <c r="U33" s="301">
        <v>436595.4</v>
      </c>
      <c r="V33" s="302">
        <f t="shared" si="0"/>
        <v>778.78912974669811</v>
      </c>
      <c r="W33" s="303">
        <v>3800721</v>
      </c>
    </row>
    <row r="34" spans="1:23">
      <c r="A34" s="296">
        <v>30</v>
      </c>
      <c r="B34" s="297">
        <v>2024802</v>
      </c>
      <c r="C34" s="305" t="s">
        <v>774</v>
      </c>
      <c r="D34" s="299">
        <v>44</v>
      </c>
      <c r="E34" s="296" t="s">
        <v>65</v>
      </c>
      <c r="F34" s="300">
        <v>4146450.5</v>
      </c>
      <c r="G34" s="300">
        <v>11319855.199999999</v>
      </c>
      <c r="H34" s="300">
        <v>15466305.699999999</v>
      </c>
      <c r="I34" s="301">
        <v>136558.9</v>
      </c>
      <c r="J34" s="298">
        <v>0</v>
      </c>
      <c r="K34" s="301">
        <v>136558.9</v>
      </c>
      <c r="L34" s="301">
        <v>15329746.800000001</v>
      </c>
      <c r="M34" s="301">
        <v>1567992.1</v>
      </c>
      <c r="N34" s="301">
        <v>532094.69999999995</v>
      </c>
      <c r="O34" s="301">
        <v>1035897.4</v>
      </c>
      <c r="P34" s="298">
        <v>228755</v>
      </c>
      <c r="Q34" s="298">
        <v>792367.8</v>
      </c>
      <c r="R34" s="298">
        <v>795.6</v>
      </c>
      <c r="S34" s="298">
        <v>0</v>
      </c>
      <c r="T34" s="301">
        <v>48681.5</v>
      </c>
      <c r="U34" s="301">
        <v>424398.7</v>
      </c>
      <c r="V34" s="302">
        <f t="shared" si="0"/>
        <v>12882.324201270103</v>
      </c>
      <c r="W34" s="303">
        <v>1189983</v>
      </c>
    </row>
    <row r="35" spans="1:23">
      <c r="A35" s="296">
        <v>31</v>
      </c>
      <c r="B35" s="297">
        <v>2034786</v>
      </c>
      <c r="C35" s="305" t="s">
        <v>567</v>
      </c>
      <c r="D35" s="299">
        <v>34</v>
      </c>
      <c r="E35" s="296" t="s">
        <v>52</v>
      </c>
      <c r="F35" s="300">
        <v>2840431.1</v>
      </c>
      <c r="G35" s="300">
        <v>298751.59999999998</v>
      </c>
      <c r="H35" s="300">
        <v>3139182.7</v>
      </c>
      <c r="I35" s="301">
        <v>1141389.3</v>
      </c>
      <c r="J35" s="298">
        <v>679</v>
      </c>
      <c r="K35" s="301">
        <v>1142068.3</v>
      </c>
      <c r="L35" s="301">
        <v>1997114.4</v>
      </c>
      <c r="M35" s="301">
        <v>1833236.3</v>
      </c>
      <c r="N35" s="301">
        <v>1003709.9</v>
      </c>
      <c r="O35" s="301">
        <v>829526.4</v>
      </c>
      <c r="P35" s="298">
        <v>3774.7</v>
      </c>
      <c r="Q35" s="298">
        <v>464879</v>
      </c>
      <c r="R35" s="298">
        <v>13180.6</v>
      </c>
      <c r="S35" s="298">
        <v>0</v>
      </c>
      <c r="T35" s="301">
        <v>41112.9</v>
      </c>
      <c r="U35" s="301">
        <v>340489.8</v>
      </c>
      <c r="V35" s="302">
        <f t="shared" si="0"/>
        <v>30554.670909702887</v>
      </c>
      <c r="W35" s="303">
        <v>65362</v>
      </c>
    </row>
    <row r="36" spans="1:23">
      <c r="A36" s="296">
        <v>32</v>
      </c>
      <c r="B36" s="297">
        <v>2003147</v>
      </c>
      <c r="C36" s="305" t="s">
        <v>664</v>
      </c>
      <c r="D36" s="299">
        <v>551</v>
      </c>
      <c r="E36" s="296" t="s">
        <v>102</v>
      </c>
      <c r="F36" s="300">
        <v>10650317.1</v>
      </c>
      <c r="G36" s="300">
        <v>11506017.800000001</v>
      </c>
      <c r="H36" s="300">
        <v>22156334.899999999</v>
      </c>
      <c r="I36" s="301">
        <v>1628802</v>
      </c>
      <c r="J36" s="301">
        <v>3334346.3</v>
      </c>
      <c r="K36" s="301">
        <v>4963148.3</v>
      </c>
      <c r="L36" s="301">
        <v>17193186.600000001</v>
      </c>
      <c r="M36" s="301">
        <v>4610180.9000000004</v>
      </c>
      <c r="N36" s="301">
        <v>2554088.4</v>
      </c>
      <c r="O36" s="301">
        <v>2056092.5</v>
      </c>
      <c r="P36" s="298">
        <v>90267.8</v>
      </c>
      <c r="Q36" s="298">
        <v>1750072</v>
      </c>
      <c r="R36" s="298">
        <v>-7795.2</v>
      </c>
      <c r="S36" s="298">
        <v>0</v>
      </c>
      <c r="T36" s="301">
        <v>49734.2</v>
      </c>
      <c r="U36" s="301">
        <v>338758.9</v>
      </c>
      <c r="V36" s="302">
        <f t="shared" si="0"/>
        <v>42.0525097261241</v>
      </c>
      <c r="W36" s="303">
        <v>408850428</v>
      </c>
    </row>
    <row r="37" spans="1:23">
      <c r="A37" s="296">
        <v>33</v>
      </c>
      <c r="B37" s="297">
        <v>2074605</v>
      </c>
      <c r="C37" s="305" t="s">
        <v>330</v>
      </c>
      <c r="D37" s="299">
        <v>541</v>
      </c>
      <c r="E37" s="296" t="s">
        <v>94</v>
      </c>
      <c r="F37" s="300">
        <v>16432711</v>
      </c>
      <c r="G37" s="300">
        <v>8413897.4000000004</v>
      </c>
      <c r="H37" s="300">
        <v>24846608.399999999</v>
      </c>
      <c r="I37" s="301">
        <v>2409736.4</v>
      </c>
      <c r="J37" s="298">
        <v>0</v>
      </c>
      <c r="K37" s="301">
        <v>2409736.4</v>
      </c>
      <c r="L37" s="301">
        <v>22436872</v>
      </c>
      <c r="M37" s="301">
        <v>6893992.2000000002</v>
      </c>
      <c r="N37" s="301">
        <v>6662784.5999999996</v>
      </c>
      <c r="O37" s="301">
        <v>231207.6</v>
      </c>
      <c r="P37" s="298">
        <v>404999.4</v>
      </c>
      <c r="Q37" s="298">
        <v>481144</v>
      </c>
      <c r="R37" s="298">
        <v>191999.7</v>
      </c>
      <c r="S37" s="298">
        <v>0</v>
      </c>
      <c r="T37" s="301">
        <v>39158.1</v>
      </c>
      <c r="U37" s="301">
        <v>307904.59999999998</v>
      </c>
      <c r="V37" s="302">
        <f t="shared" ref="V37:V68" si="1">(L37/W37)*1000</f>
        <v>225.30064683655533</v>
      </c>
      <c r="W37" s="303">
        <v>99586363</v>
      </c>
    </row>
    <row r="38" spans="1:23">
      <c r="A38" s="296">
        <v>34</v>
      </c>
      <c r="B38" s="297">
        <v>2039184</v>
      </c>
      <c r="C38" s="305" t="s">
        <v>308</v>
      </c>
      <c r="D38" s="304">
        <v>209</v>
      </c>
      <c r="E38" s="321" t="s">
        <v>168</v>
      </c>
      <c r="F38" s="300">
        <v>14172136.675290002</v>
      </c>
      <c r="G38" s="300">
        <v>27402673.880109999</v>
      </c>
      <c r="H38" s="300">
        <v>41574810.555399999</v>
      </c>
      <c r="I38" s="300">
        <v>3304913.2566300002</v>
      </c>
      <c r="J38" s="300">
        <v>4371720.0285799997</v>
      </c>
      <c r="K38" s="300">
        <v>7676633.2852100004</v>
      </c>
      <c r="L38" s="300">
        <v>33898177.270190001</v>
      </c>
      <c r="M38" s="300">
        <v>9049013.6378600001</v>
      </c>
      <c r="N38" s="300">
        <v>7747527.0610999996</v>
      </c>
      <c r="O38" s="300">
        <v>1301486.5767600001</v>
      </c>
      <c r="P38" s="312">
        <v>834651.64638000005</v>
      </c>
      <c r="Q38" s="306">
        <v>1802516.7187699999</v>
      </c>
      <c r="R38" s="312">
        <v>3319.3781800000002</v>
      </c>
      <c r="S38" s="305">
        <v>0</v>
      </c>
      <c r="T38" s="300">
        <v>54902.312169999997</v>
      </c>
      <c r="U38" s="300">
        <v>282038.57037999999</v>
      </c>
      <c r="V38" s="308">
        <f t="shared" si="1"/>
        <v>1310.3137079090304</v>
      </c>
      <c r="W38" s="313">
        <v>25870276</v>
      </c>
    </row>
    <row r="39" spans="1:23">
      <c r="A39" s="296">
        <v>35</v>
      </c>
      <c r="B39" s="297">
        <v>2024306</v>
      </c>
      <c r="C39" s="305" t="s">
        <v>813</v>
      </c>
      <c r="D39" s="299">
        <v>484</v>
      </c>
      <c r="E39" s="296" t="s">
        <v>75</v>
      </c>
      <c r="F39" s="300">
        <v>86623.2</v>
      </c>
      <c r="G39" s="300">
        <v>8322502.2999999998</v>
      </c>
      <c r="H39" s="300">
        <v>8409125.5</v>
      </c>
      <c r="I39" s="301">
        <v>204917.8</v>
      </c>
      <c r="J39" s="301">
        <v>9270599.5</v>
      </c>
      <c r="K39" s="301">
        <v>9475517.3000000007</v>
      </c>
      <c r="L39" s="301">
        <v>-1066391.8</v>
      </c>
      <c r="M39" s="301">
        <v>2700000</v>
      </c>
      <c r="N39" s="301">
        <v>20575.7</v>
      </c>
      <c r="O39" s="301">
        <v>2679424.2999999998</v>
      </c>
      <c r="P39" s="298">
        <v>94.9</v>
      </c>
      <c r="Q39" s="298">
        <v>2493565.2000000002</v>
      </c>
      <c r="R39" s="298">
        <v>3110.5</v>
      </c>
      <c r="S39" s="298">
        <v>0</v>
      </c>
      <c r="T39" s="301">
        <v>19881.400000000001</v>
      </c>
      <c r="U39" s="301">
        <v>169183.1</v>
      </c>
      <c r="V39" s="302">
        <f t="shared" si="1"/>
        <v>-28.971857905310962</v>
      </c>
      <c r="W39" s="303">
        <v>36807850</v>
      </c>
    </row>
    <row r="40" spans="1:23">
      <c r="A40" s="296">
        <v>36</v>
      </c>
      <c r="B40" s="297">
        <v>2008572</v>
      </c>
      <c r="C40" s="305" t="s">
        <v>605</v>
      </c>
      <c r="D40" s="299">
        <v>379</v>
      </c>
      <c r="E40" s="296" t="s">
        <v>58</v>
      </c>
      <c r="F40" s="300">
        <v>53970059.600000001</v>
      </c>
      <c r="G40" s="300">
        <v>3683926.8</v>
      </c>
      <c r="H40" s="300">
        <v>57653986.399999999</v>
      </c>
      <c r="I40" s="301">
        <v>33347146.100000001</v>
      </c>
      <c r="J40" s="298">
        <v>0</v>
      </c>
      <c r="K40" s="301">
        <v>33347146.100000001</v>
      </c>
      <c r="L40" s="301">
        <v>24306840.300000001</v>
      </c>
      <c r="M40" s="301">
        <v>11821921.1</v>
      </c>
      <c r="N40" s="301">
        <v>10698775.5</v>
      </c>
      <c r="O40" s="301">
        <v>1123145.6000000001</v>
      </c>
      <c r="P40" s="298">
        <v>122981.2</v>
      </c>
      <c r="Q40" s="298">
        <v>1075447.8999999999</v>
      </c>
      <c r="R40" s="298">
        <v>27215.1</v>
      </c>
      <c r="S40" s="301">
        <v>-17394.8</v>
      </c>
      <c r="T40" s="301">
        <v>17289.900000000001</v>
      </c>
      <c r="U40" s="301">
        <v>163209.29999999999</v>
      </c>
      <c r="V40" s="302">
        <f t="shared" si="1"/>
        <v>17765.482902428434</v>
      </c>
      <c r="W40" s="303">
        <v>1368206</v>
      </c>
    </row>
    <row r="41" spans="1:23">
      <c r="A41" s="296">
        <v>37</v>
      </c>
      <c r="B41" s="297">
        <v>2034565</v>
      </c>
      <c r="C41" s="305" t="s">
        <v>662</v>
      </c>
      <c r="D41" s="299">
        <v>544</v>
      </c>
      <c r="E41" s="296" t="s">
        <v>97</v>
      </c>
      <c r="F41" s="300">
        <v>5811558</v>
      </c>
      <c r="G41" s="300">
        <v>22567414.199999999</v>
      </c>
      <c r="H41" s="300">
        <v>28378972.199999999</v>
      </c>
      <c r="I41" s="301">
        <v>823442</v>
      </c>
      <c r="J41" s="298">
        <v>0</v>
      </c>
      <c r="K41" s="301">
        <v>823442</v>
      </c>
      <c r="L41" s="301">
        <v>27555530.199999999</v>
      </c>
      <c r="M41" s="301">
        <v>1118083.6000000001</v>
      </c>
      <c r="N41" s="301">
        <v>501236.8</v>
      </c>
      <c r="O41" s="301">
        <v>616846.80000000005</v>
      </c>
      <c r="P41" s="298">
        <v>217979.4</v>
      </c>
      <c r="Q41" s="298">
        <v>689093.5</v>
      </c>
      <c r="R41" s="298">
        <v>0</v>
      </c>
      <c r="S41" s="298">
        <v>0</v>
      </c>
      <c r="T41" s="301">
        <v>22415.8</v>
      </c>
      <c r="U41" s="301">
        <v>123316.9</v>
      </c>
      <c r="V41" s="302">
        <f t="shared" si="1"/>
        <v>488.42600989063578</v>
      </c>
      <c r="W41" s="303">
        <v>56417000</v>
      </c>
    </row>
    <row r="42" spans="1:23">
      <c r="A42" s="296">
        <v>38</v>
      </c>
      <c r="B42" s="297">
        <v>2013916</v>
      </c>
      <c r="C42" s="305" t="s">
        <v>392</v>
      </c>
      <c r="D42" s="299">
        <v>17</v>
      </c>
      <c r="E42" s="296" t="s">
        <v>35</v>
      </c>
      <c r="F42" s="300">
        <v>5579076.4000000004</v>
      </c>
      <c r="G42" s="300">
        <v>6299235.9000000004</v>
      </c>
      <c r="H42" s="300">
        <v>11878312.300000001</v>
      </c>
      <c r="I42" s="301">
        <v>680202.8</v>
      </c>
      <c r="J42" s="298">
        <v>0</v>
      </c>
      <c r="K42" s="301">
        <v>680202.8</v>
      </c>
      <c r="L42" s="301">
        <v>11198109.5</v>
      </c>
      <c r="M42" s="301">
        <v>5716676.7999999998</v>
      </c>
      <c r="N42" s="301">
        <v>4138839.3</v>
      </c>
      <c r="O42" s="301">
        <v>1577837.5</v>
      </c>
      <c r="P42" s="298">
        <v>46474.8</v>
      </c>
      <c r="Q42" s="298">
        <v>1469320.9</v>
      </c>
      <c r="R42" s="298">
        <v>787.9</v>
      </c>
      <c r="S42" s="298">
        <v>0</v>
      </c>
      <c r="T42" s="301">
        <v>35357</v>
      </c>
      <c r="U42" s="301">
        <v>120422.3</v>
      </c>
      <c r="V42" s="302">
        <f t="shared" si="1"/>
        <v>64306.688450406582</v>
      </c>
      <c r="W42" s="303">
        <v>174136</v>
      </c>
    </row>
    <row r="43" spans="1:23">
      <c r="A43" s="296">
        <v>39</v>
      </c>
      <c r="B43" s="297">
        <v>2057239</v>
      </c>
      <c r="C43" s="305" t="s">
        <v>250</v>
      </c>
      <c r="D43" s="299">
        <v>519</v>
      </c>
      <c r="E43" s="296" t="s">
        <v>84</v>
      </c>
      <c r="F43" s="300">
        <v>637469.4</v>
      </c>
      <c r="G43" s="300">
        <v>6572166</v>
      </c>
      <c r="H43" s="300">
        <v>7209635.4000000004</v>
      </c>
      <c r="I43" s="301">
        <v>1221351.2</v>
      </c>
      <c r="J43" s="301">
        <v>115280.3</v>
      </c>
      <c r="K43" s="301">
        <v>1336631.5</v>
      </c>
      <c r="L43" s="301">
        <v>5873003.9000000004</v>
      </c>
      <c r="M43" s="301">
        <v>1877568.5</v>
      </c>
      <c r="N43" s="301">
        <v>1722518.6</v>
      </c>
      <c r="O43" s="301">
        <v>155049.9</v>
      </c>
      <c r="P43" s="298">
        <v>50506.400000000001</v>
      </c>
      <c r="Q43" s="298">
        <v>80977.100000000006</v>
      </c>
      <c r="R43" s="298">
        <v>0</v>
      </c>
      <c r="S43" s="298">
        <v>0</v>
      </c>
      <c r="T43" s="301">
        <v>12457.9</v>
      </c>
      <c r="U43" s="301">
        <v>112121.3</v>
      </c>
      <c r="V43" s="302">
        <f t="shared" si="1"/>
        <v>329.69652614163874</v>
      </c>
      <c r="W43" s="303">
        <v>17813363</v>
      </c>
    </row>
    <row r="44" spans="1:23">
      <c r="A44" s="296">
        <v>40</v>
      </c>
      <c r="B44" s="297">
        <v>2061007</v>
      </c>
      <c r="C44" s="305" t="s">
        <v>800</v>
      </c>
      <c r="D44" s="299">
        <v>7</v>
      </c>
      <c r="E44" s="296" t="s">
        <v>194</v>
      </c>
      <c r="F44" s="300">
        <v>3293442.5</v>
      </c>
      <c r="G44" s="300">
        <v>5730778.5999999996</v>
      </c>
      <c r="H44" s="300">
        <v>9024221.0999999996</v>
      </c>
      <c r="I44" s="301">
        <v>1982629.6</v>
      </c>
      <c r="J44" s="301">
        <v>450909.1</v>
      </c>
      <c r="K44" s="301">
        <v>2433538.7000000002</v>
      </c>
      <c r="L44" s="301">
        <v>6590682.4000000004</v>
      </c>
      <c r="M44" s="301">
        <v>1538876</v>
      </c>
      <c r="N44" s="301">
        <v>1200323.3</v>
      </c>
      <c r="O44" s="301">
        <v>338552.7</v>
      </c>
      <c r="P44" s="298">
        <v>360616.2</v>
      </c>
      <c r="Q44" s="298">
        <v>592580.69999999995</v>
      </c>
      <c r="R44" s="298">
        <v>0</v>
      </c>
      <c r="S44" s="298">
        <v>0</v>
      </c>
      <c r="T44" s="301">
        <v>10658.8</v>
      </c>
      <c r="U44" s="301">
        <v>95929.4</v>
      </c>
      <c r="V44" s="302">
        <f t="shared" si="1"/>
        <v>16280.163723448666</v>
      </c>
      <c r="W44" s="303">
        <v>404829</v>
      </c>
    </row>
    <row r="45" spans="1:23">
      <c r="A45" s="296">
        <v>41</v>
      </c>
      <c r="B45" s="297">
        <v>2034859</v>
      </c>
      <c r="C45" s="305" t="s">
        <v>571</v>
      </c>
      <c r="D45" s="299">
        <v>521</v>
      </c>
      <c r="E45" s="296" t="s">
        <v>85</v>
      </c>
      <c r="F45" s="300">
        <v>1088081</v>
      </c>
      <c r="G45" s="300">
        <v>9235017.1999999993</v>
      </c>
      <c r="H45" s="300">
        <v>10323098.199999999</v>
      </c>
      <c r="I45" s="301">
        <v>1405886</v>
      </c>
      <c r="J45" s="298">
        <v>0</v>
      </c>
      <c r="K45" s="301">
        <v>1405886</v>
      </c>
      <c r="L45" s="301">
        <v>8917212.1999999993</v>
      </c>
      <c r="M45" s="301">
        <v>2242203.9</v>
      </c>
      <c r="N45" s="301">
        <v>1913211.7</v>
      </c>
      <c r="O45" s="301">
        <v>328992.2</v>
      </c>
      <c r="P45" s="298">
        <v>867.7</v>
      </c>
      <c r="Q45" s="298">
        <v>234547.5</v>
      </c>
      <c r="R45" s="298">
        <v>307.60000000000002</v>
      </c>
      <c r="S45" s="298">
        <v>0</v>
      </c>
      <c r="T45" s="301">
        <v>11877.9</v>
      </c>
      <c r="U45" s="301">
        <v>83742.100000000006</v>
      </c>
      <c r="V45" s="302">
        <f t="shared" si="1"/>
        <v>89.172121999999987</v>
      </c>
      <c r="W45" s="303">
        <v>100000000</v>
      </c>
    </row>
    <row r="46" spans="1:23">
      <c r="A46" s="296">
        <v>42</v>
      </c>
      <c r="B46" s="297">
        <v>2014491</v>
      </c>
      <c r="C46" s="305" t="s">
        <v>897</v>
      </c>
      <c r="D46" s="299">
        <v>8</v>
      </c>
      <c r="E46" s="296" t="s">
        <v>108</v>
      </c>
      <c r="F46" s="300">
        <v>14856984</v>
      </c>
      <c r="G46" s="300">
        <v>983368.8</v>
      </c>
      <c r="H46" s="300">
        <v>15840352.800000001</v>
      </c>
      <c r="I46" s="301">
        <v>4996372.5999999996</v>
      </c>
      <c r="J46" s="298">
        <v>0</v>
      </c>
      <c r="K46" s="301">
        <v>4996372.5999999996</v>
      </c>
      <c r="L46" s="301">
        <v>10843980.199999999</v>
      </c>
      <c r="M46" s="301">
        <v>846246.6</v>
      </c>
      <c r="N46" s="301">
        <v>804532.4</v>
      </c>
      <c r="O46" s="301">
        <v>41714.199999999997</v>
      </c>
      <c r="P46" s="298">
        <v>195983.9</v>
      </c>
      <c r="Q46" s="298">
        <v>164930.20000000001</v>
      </c>
      <c r="R46" s="298">
        <v>0</v>
      </c>
      <c r="S46" s="298">
        <v>0</v>
      </c>
      <c r="T46" s="301">
        <v>9600.4</v>
      </c>
      <c r="U46" s="301">
        <v>63167.5</v>
      </c>
      <c r="V46" s="302">
        <f t="shared" si="1"/>
        <v>80167.81896411514</v>
      </c>
      <c r="W46" s="303">
        <v>135266</v>
      </c>
    </row>
    <row r="47" spans="1:23">
      <c r="A47" s="296">
        <v>43</v>
      </c>
      <c r="B47" s="297">
        <v>2018098</v>
      </c>
      <c r="C47" s="305" t="s">
        <v>761</v>
      </c>
      <c r="D47" s="299">
        <v>214</v>
      </c>
      <c r="E47" s="296" t="s">
        <v>186</v>
      </c>
      <c r="F47" s="300">
        <v>954425.9</v>
      </c>
      <c r="G47" s="300">
        <v>1242917.3</v>
      </c>
      <c r="H47" s="300">
        <v>2197343.2000000002</v>
      </c>
      <c r="I47" s="301">
        <v>1214152</v>
      </c>
      <c r="J47" s="301">
        <v>4641.1000000000004</v>
      </c>
      <c r="K47" s="301">
        <v>1218793.1000000001</v>
      </c>
      <c r="L47" s="301">
        <v>978550.1</v>
      </c>
      <c r="M47" s="301">
        <v>848240.7</v>
      </c>
      <c r="N47" s="298">
        <v>0</v>
      </c>
      <c r="O47" s="301">
        <v>848240.7</v>
      </c>
      <c r="P47" s="298">
        <v>0</v>
      </c>
      <c r="Q47" s="298">
        <v>793232.6</v>
      </c>
      <c r="R47" s="298">
        <v>0</v>
      </c>
      <c r="S47" s="298">
        <v>0</v>
      </c>
      <c r="T47" s="298">
        <v>0</v>
      </c>
      <c r="U47" s="301">
        <v>55008.1</v>
      </c>
      <c r="V47" s="302">
        <f t="shared" si="1"/>
        <v>8528.6359238955174</v>
      </c>
      <c r="W47" s="303">
        <v>114737</v>
      </c>
    </row>
    <row r="48" spans="1:23">
      <c r="A48" s="296">
        <v>44</v>
      </c>
      <c r="B48" s="297">
        <v>2016656</v>
      </c>
      <c r="C48" s="305" t="s">
        <v>397</v>
      </c>
      <c r="D48" s="299">
        <v>543</v>
      </c>
      <c r="E48" s="296" t="s">
        <v>96</v>
      </c>
      <c r="F48" s="300">
        <v>961138.3</v>
      </c>
      <c r="G48" s="300">
        <v>2655224.2999999998</v>
      </c>
      <c r="H48" s="300">
        <v>3616362.6</v>
      </c>
      <c r="I48" s="301">
        <v>579428.9</v>
      </c>
      <c r="J48" s="298">
        <v>0</v>
      </c>
      <c r="K48" s="301">
        <v>579428.9</v>
      </c>
      <c r="L48" s="301">
        <v>3036933.7</v>
      </c>
      <c r="M48" s="301">
        <v>1098392.5</v>
      </c>
      <c r="N48" s="301">
        <v>647770.69999999995</v>
      </c>
      <c r="O48" s="301">
        <v>450621.8</v>
      </c>
      <c r="P48" s="298">
        <v>44531.4</v>
      </c>
      <c r="Q48" s="298">
        <v>446950.7</v>
      </c>
      <c r="R48" s="298">
        <v>0</v>
      </c>
      <c r="S48" s="298">
        <v>0</v>
      </c>
      <c r="T48" s="301">
        <v>4820.2</v>
      </c>
      <c r="U48" s="301">
        <v>43382.3</v>
      </c>
      <c r="V48" s="302">
        <f t="shared" si="1"/>
        <v>88.149389570291802</v>
      </c>
      <c r="W48" s="303">
        <v>34452124</v>
      </c>
    </row>
    <row r="49" spans="1:23">
      <c r="A49" s="296">
        <v>45</v>
      </c>
      <c r="B49" s="297">
        <v>2004879</v>
      </c>
      <c r="C49" s="305" t="s">
        <v>807</v>
      </c>
      <c r="D49" s="299">
        <v>94</v>
      </c>
      <c r="E49" s="296" t="s">
        <v>198</v>
      </c>
      <c r="F49" s="300">
        <v>1908352.5</v>
      </c>
      <c r="G49" s="300">
        <v>1770787.1</v>
      </c>
      <c r="H49" s="300">
        <v>3679139.6</v>
      </c>
      <c r="I49" s="301">
        <v>1673908.6</v>
      </c>
      <c r="J49" s="298">
        <v>0</v>
      </c>
      <c r="K49" s="301">
        <v>1673908.6</v>
      </c>
      <c r="L49" s="301">
        <v>2005231</v>
      </c>
      <c r="M49" s="301">
        <v>1324689.3</v>
      </c>
      <c r="N49" s="301">
        <v>856290.7</v>
      </c>
      <c r="O49" s="301">
        <v>468398.6</v>
      </c>
      <c r="P49" s="298">
        <v>244.7</v>
      </c>
      <c r="Q49" s="298">
        <v>427453.6</v>
      </c>
      <c r="R49" s="298">
        <v>653.20000000000005</v>
      </c>
      <c r="S49" s="298">
        <v>0</v>
      </c>
      <c r="T49" s="301">
        <v>4184.3</v>
      </c>
      <c r="U49" s="301">
        <v>37658.6</v>
      </c>
      <c r="V49" s="302">
        <f t="shared" si="1"/>
        <v>17790.118527981831</v>
      </c>
      <c r="W49" s="303">
        <v>112716</v>
      </c>
    </row>
    <row r="50" spans="1:23">
      <c r="A50" s="296">
        <v>46</v>
      </c>
      <c r="B50" s="297">
        <v>2011239</v>
      </c>
      <c r="C50" s="305" t="s">
        <v>469</v>
      </c>
      <c r="D50" s="299">
        <v>353</v>
      </c>
      <c r="E50" s="296" t="s">
        <v>53</v>
      </c>
      <c r="F50" s="305">
        <v>0</v>
      </c>
      <c r="G50" s="305">
        <v>0</v>
      </c>
      <c r="H50" s="305">
        <v>0</v>
      </c>
      <c r="I50" s="298">
        <v>0</v>
      </c>
      <c r="J50" s="298">
        <v>0</v>
      </c>
      <c r="K50" s="298">
        <v>0</v>
      </c>
      <c r="L50" s="298"/>
      <c r="M50" s="301">
        <v>338354.1</v>
      </c>
      <c r="N50" s="301">
        <v>67786.399999999994</v>
      </c>
      <c r="O50" s="301">
        <v>270567.7</v>
      </c>
      <c r="P50" s="298">
        <v>0</v>
      </c>
      <c r="Q50" s="298">
        <v>239268.5</v>
      </c>
      <c r="R50" s="298">
        <v>0</v>
      </c>
      <c r="S50" s="298">
        <v>0</v>
      </c>
      <c r="T50" s="298">
        <v>0</v>
      </c>
      <c r="U50" s="301">
        <v>31299.200000000001</v>
      </c>
      <c r="V50" s="302">
        <f t="shared" si="1"/>
        <v>0</v>
      </c>
      <c r="W50" s="303">
        <v>99899</v>
      </c>
    </row>
    <row r="51" spans="1:23">
      <c r="A51" s="296">
        <v>47</v>
      </c>
      <c r="B51" s="297">
        <v>2016931</v>
      </c>
      <c r="C51" s="305" t="s">
        <v>509</v>
      </c>
      <c r="D51" s="299">
        <v>150</v>
      </c>
      <c r="E51" s="296" t="s">
        <v>32</v>
      </c>
      <c r="F51" s="300">
        <v>7900.2</v>
      </c>
      <c r="G51" s="300">
        <v>412326.7</v>
      </c>
      <c r="H51" s="300">
        <v>420226.9</v>
      </c>
      <c r="I51" s="301">
        <v>1874.1</v>
      </c>
      <c r="J51" s="298">
        <v>0</v>
      </c>
      <c r="K51" s="301">
        <v>1874.1</v>
      </c>
      <c r="L51" s="301">
        <v>418352.8</v>
      </c>
      <c r="M51" s="301">
        <v>93505.8</v>
      </c>
      <c r="N51" s="301">
        <v>25357.5</v>
      </c>
      <c r="O51" s="301">
        <v>68148.3</v>
      </c>
      <c r="P51" s="298">
        <v>0</v>
      </c>
      <c r="Q51" s="298">
        <v>37359</v>
      </c>
      <c r="R51" s="298">
        <v>0</v>
      </c>
      <c r="S51" s="298">
        <v>0</v>
      </c>
      <c r="T51" s="298">
        <v>307.89999999999998</v>
      </c>
      <c r="U51" s="301">
        <v>30481.4</v>
      </c>
      <c r="V51" s="302">
        <f t="shared" si="1"/>
        <v>229.46865759402613</v>
      </c>
      <c r="W51" s="303">
        <v>1823137</v>
      </c>
    </row>
    <row r="52" spans="1:23">
      <c r="A52" s="296">
        <v>48</v>
      </c>
      <c r="B52" s="297">
        <v>2003821</v>
      </c>
      <c r="C52" s="305" t="s">
        <v>616</v>
      </c>
      <c r="D52" s="299">
        <v>68</v>
      </c>
      <c r="E52" s="296" t="s">
        <v>165</v>
      </c>
      <c r="F52" s="300">
        <v>134002.20000000001</v>
      </c>
      <c r="G52" s="300">
        <v>890796.7</v>
      </c>
      <c r="H52" s="300">
        <v>1024798.9</v>
      </c>
      <c r="I52" s="301">
        <v>384713.5</v>
      </c>
      <c r="J52" s="298">
        <v>0</v>
      </c>
      <c r="K52" s="301">
        <v>384713.5</v>
      </c>
      <c r="L52" s="301">
        <v>640085.4</v>
      </c>
      <c r="M52" s="298">
        <v>0</v>
      </c>
      <c r="N52" s="298">
        <v>0</v>
      </c>
      <c r="O52" s="298">
        <v>0</v>
      </c>
      <c r="P52" s="298">
        <v>156157.9</v>
      </c>
      <c r="Q52" s="298">
        <v>128568.6</v>
      </c>
      <c r="R52" s="298">
        <v>0</v>
      </c>
      <c r="S52" s="298">
        <v>0</v>
      </c>
      <c r="T52" s="301">
        <v>2758.9</v>
      </c>
      <c r="U52" s="301">
        <v>24830.400000000001</v>
      </c>
      <c r="V52" s="302">
        <f t="shared" si="1"/>
        <v>2407.6756992612432</v>
      </c>
      <c r="W52" s="303">
        <v>265852</v>
      </c>
    </row>
    <row r="53" spans="1:23">
      <c r="A53" s="296">
        <v>49</v>
      </c>
      <c r="B53" s="297">
        <v>2082756</v>
      </c>
      <c r="C53" s="305" t="s">
        <v>624</v>
      </c>
      <c r="D53" s="299">
        <v>9</v>
      </c>
      <c r="E53" s="296" t="s">
        <v>170</v>
      </c>
      <c r="F53" s="300">
        <v>2861826.7</v>
      </c>
      <c r="G53" s="300">
        <v>829210.2</v>
      </c>
      <c r="H53" s="300">
        <v>3691036.9</v>
      </c>
      <c r="I53" s="301">
        <v>2171702.6</v>
      </c>
      <c r="J53" s="301">
        <v>1402418.3</v>
      </c>
      <c r="K53" s="301">
        <v>3574120.9</v>
      </c>
      <c r="L53" s="301">
        <v>116916</v>
      </c>
      <c r="M53" s="298">
        <v>0</v>
      </c>
      <c r="N53" s="298">
        <v>0</v>
      </c>
      <c r="O53" s="298">
        <v>0</v>
      </c>
      <c r="P53" s="298">
        <v>471915</v>
      </c>
      <c r="Q53" s="298">
        <v>444075.3</v>
      </c>
      <c r="R53" s="298">
        <v>7.1</v>
      </c>
      <c r="S53" s="298">
        <v>0</v>
      </c>
      <c r="T53" s="301">
        <v>3917.6</v>
      </c>
      <c r="U53" s="301">
        <v>23929.200000000001</v>
      </c>
      <c r="V53" s="302">
        <f t="shared" si="1"/>
        <v>246.57291570005316</v>
      </c>
      <c r="W53" s="303">
        <v>474164</v>
      </c>
    </row>
    <row r="54" spans="1:23">
      <c r="A54" s="296">
        <v>50</v>
      </c>
      <c r="B54" s="297">
        <v>2117436</v>
      </c>
      <c r="C54" s="305" t="s">
        <v>691</v>
      </c>
      <c r="D54" s="299">
        <v>67</v>
      </c>
      <c r="E54" s="296" t="s">
        <v>106</v>
      </c>
      <c r="F54" s="300">
        <v>5036408.0999999996</v>
      </c>
      <c r="G54" s="300">
        <v>1446949.9</v>
      </c>
      <c r="H54" s="300">
        <v>6483358</v>
      </c>
      <c r="I54" s="301">
        <v>2660353.4</v>
      </c>
      <c r="J54" s="301">
        <v>2262637.2000000002</v>
      </c>
      <c r="K54" s="301">
        <v>4922990.5999999996</v>
      </c>
      <c r="L54" s="301">
        <v>1560367.4</v>
      </c>
      <c r="M54" s="301">
        <v>328963.40000000002</v>
      </c>
      <c r="N54" s="301">
        <v>278347.3</v>
      </c>
      <c r="O54" s="301">
        <v>50616.1</v>
      </c>
      <c r="P54" s="298">
        <v>35890.1</v>
      </c>
      <c r="Q54" s="298">
        <v>61110.2</v>
      </c>
      <c r="R54" s="298">
        <v>1.3</v>
      </c>
      <c r="S54" s="298">
        <v>0</v>
      </c>
      <c r="T54" s="301">
        <v>2863</v>
      </c>
      <c r="U54" s="301">
        <v>22534.3</v>
      </c>
      <c r="V54" s="302">
        <f t="shared" si="1"/>
        <v>1210.9811682440638</v>
      </c>
      <c r="W54" s="303">
        <v>1288515</v>
      </c>
    </row>
    <row r="55" spans="1:23">
      <c r="A55" s="296">
        <v>51</v>
      </c>
      <c r="B55" s="297">
        <v>2116812</v>
      </c>
      <c r="C55" s="305" t="s">
        <v>930</v>
      </c>
      <c r="D55" s="299">
        <v>466</v>
      </c>
      <c r="E55" s="296" t="s">
        <v>73</v>
      </c>
      <c r="F55" s="300">
        <v>1990546.6</v>
      </c>
      <c r="G55" s="300">
        <v>1281624.1000000001</v>
      </c>
      <c r="H55" s="300">
        <v>3272170.7</v>
      </c>
      <c r="I55" s="301">
        <v>3241209.9</v>
      </c>
      <c r="J55" s="298">
        <v>0</v>
      </c>
      <c r="K55" s="301">
        <v>3241209.9</v>
      </c>
      <c r="L55" s="301">
        <v>30960.799999999999</v>
      </c>
      <c r="M55" s="301">
        <v>1788474.2</v>
      </c>
      <c r="N55" s="301">
        <v>1764539.8</v>
      </c>
      <c r="O55" s="301">
        <v>23934.400000000001</v>
      </c>
      <c r="P55" s="298">
        <v>0</v>
      </c>
      <c r="Q55" s="298">
        <v>0</v>
      </c>
      <c r="R55" s="298">
        <v>0</v>
      </c>
      <c r="S55" s="298">
        <v>0</v>
      </c>
      <c r="T55" s="301">
        <v>2393.4</v>
      </c>
      <c r="U55" s="301">
        <v>21541</v>
      </c>
      <c r="V55" s="302">
        <f t="shared" si="1"/>
        <v>57.743618245467445</v>
      </c>
      <c r="W55" s="303">
        <v>536177</v>
      </c>
    </row>
    <row r="56" spans="1:23">
      <c r="A56" s="296">
        <v>52</v>
      </c>
      <c r="B56" s="297">
        <v>2688549</v>
      </c>
      <c r="C56" s="305" t="s">
        <v>846</v>
      </c>
      <c r="D56" s="299">
        <v>378</v>
      </c>
      <c r="E56" s="296" t="s">
        <v>57</v>
      </c>
      <c r="F56" s="300">
        <v>52633.4</v>
      </c>
      <c r="G56" s="300">
        <v>2504594.4</v>
      </c>
      <c r="H56" s="300">
        <v>2557227.7999999998</v>
      </c>
      <c r="I56" s="298">
        <v>0</v>
      </c>
      <c r="J56" s="301">
        <v>1329050.3999999999</v>
      </c>
      <c r="K56" s="301">
        <v>1329050.3999999999</v>
      </c>
      <c r="L56" s="301">
        <v>1228177.3999999999</v>
      </c>
      <c r="M56" s="301">
        <v>192885.7</v>
      </c>
      <c r="N56" s="301">
        <v>74191.199999999997</v>
      </c>
      <c r="O56" s="301">
        <v>118694.5</v>
      </c>
      <c r="P56" s="298">
        <v>0</v>
      </c>
      <c r="Q56" s="298">
        <v>101096.6</v>
      </c>
      <c r="R56" s="298">
        <v>0</v>
      </c>
      <c r="S56" s="298">
        <v>0</v>
      </c>
      <c r="T56" s="301">
        <v>1297.8</v>
      </c>
      <c r="U56" s="301">
        <v>16300.1</v>
      </c>
      <c r="V56" s="302">
        <f t="shared" si="1"/>
        <v>3938.2836950387355</v>
      </c>
      <c r="W56" s="303">
        <v>311856</v>
      </c>
    </row>
    <row r="57" spans="1:23">
      <c r="A57" s="296">
        <v>53</v>
      </c>
      <c r="B57" s="297">
        <v>2688557</v>
      </c>
      <c r="C57" s="305" t="s">
        <v>917</v>
      </c>
      <c r="D57" s="299">
        <v>154</v>
      </c>
      <c r="E57" s="296" t="s">
        <v>140</v>
      </c>
      <c r="F57" s="300">
        <v>212065.5</v>
      </c>
      <c r="G57" s="300">
        <v>811977</v>
      </c>
      <c r="H57" s="300">
        <v>1024042.5</v>
      </c>
      <c r="I57" s="301">
        <v>91207.5</v>
      </c>
      <c r="J57" s="298">
        <v>0</v>
      </c>
      <c r="K57" s="301">
        <v>91207.5</v>
      </c>
      <c r="L57" s="301">
        <v>932835</v>
      </c>
      <c r="M57" s="301">
        <v>62031</v>
      </c>
      <c r="N57" s="301">
        <v>18332.7</v>
      </c>
      <c r="O57" s="301">
        <v>43698.3</v>
      </c>
      <c r="P57" s="298">
        <v>0</v>
      </c>
      <c r="Q57" s="298">
        <v>26403</v>
      </c>
      <c r="R57" s="298">
        <v>0</v>
      </c>
      <c r="S57" s="298">
        <v>0</v>
      </c>
      <c r="T57" s="301">
        <v>1729.5</v>
      </c>
      <c r="U57" s="301">
        <v>15565.8</v>
      </c>
      <c r="V57" s="302">
        <f t="shared" si="1"/>
        <v>2365.8121522300394</v>
      </c>
      <c r="W57" s="303">
        <v>394298</v>
      </c>
    </row>
    <row r="58" spans="1:23" s="15" customFormat="1">
      <c r="A58" s="296">
        <v>54</v>
      </c>
      <c r="B58" s="314">
        <v>2587904</v>
      </c>
      <c r="C58" s="305" t="s">
        <v>630</v>
      </c>
      <c r="D58" s="299">
        <v>236</v>
      </c>
      <c r="E58" s="296" t="s">
        <v>172</v>
      </c>
      <c r="F58" s="300">
        <v>10404759.6</v>
      </c>
      <c r="G58" s="300">
        <v>5311989.5999999996</v>
      </c>
      <c r="H58" s="300">
        <v>15716749.199999999</v>
      </c>
      <c r="I58" s="301">
        <v>1868267.5</v>
      </c>
      <c r="J58" s="301">
        <v>12360294.1</v>
      </c>
      <c r="K58" s="301">
        <v>14228561.6</v>
      </c>
      <c r="L58" s="301">
        <v>1488187.6</v>
      </c>
      <c r="M58" s="301">
        <v>1373877.3</v>
      </c>
      <c r="N58" s="301">
        <v>709800</v>
      </c>
      <c r="O58" s="301">
        <v>664077.30000000005</v>
      </c>
      <c r="P58" s="298">
        <v>41880.300000000003</v>
      </c>
      <c r="Q58" s="298">
        <v>694548.6</v>
      </c>
      <c r="R58" s="298">
        <v>0</v>
      </c>
      <c r="S58" s="298">
        <v>0</v>
      </c>
      <c r="T58" s="301">
        <v>1140.8</v>
      </c>
      <c r="U58" s="301">
        <v>10268.200000000001</v>
      </c>
      <c r="V58" s="302">
        <f t="shared" si="1"/>
        <v>1617.1048127796028</v>
      </c>
      <c r="W58" s="303">
        <v>920279</v>
      </c>
    </row>
    <row r="59" spans="1:23">
      <c r="A59" s="296">
        <v>55</v>
      </c>
      <c r="B59" s="297">
        <v>2546191</v>
      </c>
      <c r="C59" s="305" t="s">
        <v>834</v>
      </c>
      <c r="D59" s="299">
        <v>455</v>
      </c>
      <c r="E59" s="296" t="s">
        <v>151</v>
      </c>
      <c r="F59" s="300">
        <v>1390325.2</v>
      </c>
      <c r="G59" s="300">
        <v>4243465.7</v>
      </c>
      <c r="H59" s="300">
        <v>5633790.9000000004</v>
      </c>
      <c r="I59" s="301">
        <v>470304.5</v>
      </c>
      <c r="J59" s="298">
        <v>0</v>
      </c>
      <c r="K59" s="301">
        <v>470304.5</v>
      </c>
      <c r="L59" s="301">
        <v>5163486.4000000004</v>
      </c>
      <c r="M59" s="301">
        <v>411773.1</v>
      </c>
      <c r="N59" s="301">
        <v>350099.4</v>
      </c>
      <c r="O59" s="301">
        <v>61673.7</v>
      </c>
      <c r="P59" s="298">
        <v>237.5</v>
      </c>
      <c r="Q59" s="298">
        <v>51702.8</v>
      </c>
      <c r="R59" s="298">
        <v>0</v>
      </c>
      <c r="S59" s="298">
        <v>0</v>
      </c>
      <c r="T59" s="301">
        <v>1020.8</v>
      </c>
      <c r="U59" s="301">
        <v>9187.6</v>
      </c>
      <c r="V59" s="302">
        <f t="shared" si="1"/>
        <v>15625.147975549236</v>
      </c>
      <c r="W59" s="303">
        <v>330460</v>
      </c>
    </row>
    <row r="60" spans="1:23">
      <c r="A60" s="296">
        <v>56</v>
      </c>
      <c r="B60" s="297">
        <v>2688352</v>
      </c>
      <c r="C60" s="305" t="s">
        <v>545</v>
      </c>
      <c r="D60" s="299">
        <v>311</v>
      </c>
      <c r="E60" s="296" t="s">
        <v>135</v>
      </c>
      <c r="F60" s="300">
        <v>397240.6</v>
      </c>
      <c r="G60" s="300">
        <v>2101172.5</v>
      </c>
      <c r="H60" s="300">
        <v>2498413.1</v>
      </c>
      <c r="I60" s="301">
        <v>121988.1</v>
      </c>
      <c r="J60" s="301">
        <v>753250.4</v>
      </c>
      <c r="K60" s="301">
        <v>875238.5</v>
      </c>
      <c r="L60" s="301">
        <v>1623174.6</v>
      </c>
      <c r="M60" s="301">
        <v>535502.69999999995</v>
      </c>
      <c r="N60" s="298">
        <v>0</v>
      </c>
      <c r="O60" s="301">
        <v>535502.69999999995</v>
      </c>
      <c r="P60" s="298">
        <v>0</v>
      </c>
      <c r="Q60" s="298">
        <v>526019.69999999995</v>
      </c>
      <c r="R60" s="298">
        <v>0</v>
      </c>
      <c r="S60" s="298">
        <v>0</v>
      </c>
      <c r="T60" s="298">
        <v>948.3</v>
      </c>
      <c r="U60" s="301">
        <v>8534.7000000000007</v>
      </c>
      <c r="V60" s="302">
        <f t="shared" si="1"/>
        <v>21943.984642214982</v>
      </c>
      <c r="W60" s="303">
        <v>73969</v>
      </c>
    </row>
    <row r="61" spans="1:23">
      <c r="A61" s="296">
        <v>57</v>
      </c>
      <c r="B61" s="297">
        <v>2646161</v>
      </c>
      <c r="C61" s="305" t="s">
        <v>652</v>
      </c>
      <c r="D61" s="299">
        <v>517</v>
      </c>
      <c r="E61" s="296" t="s">
        <v>173</v>
      </c>
      <c r="F61" s="300">
        <v>3075520.7</v>
      </c>
      <c r="G61" s="300">
        <v>2418669.1</v>
      </c>
      <c r="H61" s="300">
        <v>5494189.7999999998</v>
      </c>
      <c r="I61" s="301">
        <v>2767547</v>
      </c>
      <c r="J61" s="298">
        <v>0</v>
      </c>
      <c r="K61" s="301">
        <v>2767547</v>
      </c>
      <c r="L61" s="301">
        <v>2726642.8</v>
      </c>
      <c r="M61" s="301">
        <v>82137.8</v>
      </c>
      <c r="N61" s="301">
        <v>14185.4</v>
      </c>
      <c r="O61" s="301">
        <v>67952.399999999994</v>
      </c>
      <c r="P61" s="298">
        <v>18</v>
      </c>
      <c r="Q61" s="298">
        <v>62829.1</v>
      </c>
      <c r="R61" s="298">
        <v>0</v>
      </c>
      <c r="S61" s="298">
        <v>0</v>
      </c>
      <c r="T61" s="298">
        <v>518.4</v>
      </c>
      <c r="U61" s="301">
        <v>4622.8999999999996</v>
      </c>
      <c r="V61" s="302">
        <f t="shared" si="1"/>
        <v>272.66427999999996</v>
      </c>
      <c r="W61" s="303">
        <v>10000000</v>
      </c>
    </row>
    <row r="62" spans="1:23">
      <c r="A62" s="296">
        <v>58</v>
      </c>
      <c r="B62" s="297">
        <v>2641984</v>
      </c>
      <c r="C62" s="305" t="s">
        <v>410</v>
      </c>
      <c r="D62" s="299">
        <v>13</v>
      </c>
      <c r="E62" s="296" t="s">
        <v>28</v>
      </c>
      <c r="F62" s="300">
        <v>30904795.5</v>
      </c>
      <c r="G62" s="300">
        <v>7453293.0999999996</v>
      </c>
      <c r="H62" s="300">
        <v>38358088.600000001</v>
      </c>
      <c r="I62" s="301">
        <v>6182439.9000000004</v>
      </c>
      <c r="J62" s="298">
        <v>0</v>
      </c>
      <c r="K62" s="301">
        <v>6182439.9000000004</v>
      </c>
      <c r="L62" s="301">
        <v>32175648.699999999</v>
      </c>
      <c r="M62" s="301">
        <v>2141207.2999999998</v>
      </c>
      <c r="N62" s="301">
        <v>1738007</v>
      </c>
      <c r="O62" s="301">
        <v>403200.3</v>
      </c>
      <c r="P62" s="298">
        <v>318630.5</v>
      </c>
      <c r="Q62" s="298">
        <v>759399.8</v>
      </c>
      <c r="R62" s="298">
        <v>54342.400000000001</v>
      </c>
      <c r="S62" s="298">
        <v>0</v>
      </c>
      <c r="T62" s="301">
        <v>12291.8</v>
      </c>
      <c r="U62" s="301">
        <v>4481.6000000000004</v>
      </c>
      <c r="V62" s="302">
        <f t="shared" si="1"/>
        <v>76053.676621795705</v>
      </c>
      <c r="W62" s="303">
        <v>423065</v>
      </c>
    </row>
    <row r="63" spans="1:23">
      <c r="A63" s="296">
        <v>59</v>
      </c>
      <c r="B63" s="297">
        <v>4245636</v>
      </c>
      <c r="C63" s="305" t="s">
        <v>864</v>
      </c>
      <c r="D63" s="299">
        <v>108</v>
      </c>
      <c r="E63" s="296" t="s">
        <v>154</v>
      </c>
      <c r="F63" s="300">
        <v>2357666.9</v>
      </c>
      <c r="G63" s="300">
        <v>3155423.8</v>
      </c>
      <c r="H63" s="300">
        <v>5513090.7000000002</v>
      </c>
      <c r="I63" s="301">
        <v>4466430.4000000004</v>
      </c>
      <c r="J63" s="298">
        <v>0</v>
      </c>
      <c r="K63" s="301">
        <v>4466430.4000000004</v>
      </c>
      <c r="L63" s="301">
        <v>1046660.3</v>
      </c>
      <c r="M63" s="301">
        <v>2453866.4</v>
      </c>
      <c r="N63" s="301">
        <v>2331704.6</v>
      </c>
      <c r="O63" s="301">
        <v>122161.8</v>
      </c>
      <c r="P63" s="298">
        <v>886.7</v>
      </c>
      <c r="Q63" s="298">
        <v>118175.4</v>
      </c>
      <c r="R63" s="298">
        <v>0</v>
      </c>
      <c r="S63" s="298">
        <v>0</v>
      </c>
      <c r="T63" s="298">
        <v>487.3</v>
      </c>
      <c r="U63" s="301">
        <v>4385.8</v>
      </c>
      <c r="V63" s="302">
        <f t="shared" si="1"/>
        <v>7270.5443911113589</v>
      </c>
      <c r="W63" s="303">
        <v>143959</v>
      </c>
    </row>
    <row r="64" spans="1:23">
      <c r="A64" s="296">
        <v>60</v>
      </c>
      <c r="B64" s="297">
        <v>2108011</v>
      </c>
      <c r="C64" s="305" t="s">
        <v>575</v>
      </c>
      <c r="D64" s="299">
        <v>204</v>
      </c>
      <c r="E64" s="296" t="s">
        <v>40</v>
      </c>
      <c r="F64" s="300">
        <v>1400342.6</v>
      </c>
      <c r="G64" s="300">
        <v>435089.7</v>
      </c>
      <c r="H64" s="300">
        <v>1835432.3</v>
      </c>
      <c r="I64" s="301">
        <v>282072</v>
      </c>
      <c r="J64" s="301">
        <v>1220394.8</v>
      </c>
      <c r="K64" s="301">
        <v>1502466.8</v>
      </c>
      <c r="L64" s="301">
        <v>332965.5</v>
      </c>
      <c r="M64" s="301">
        <v>413370.9</v>
      </c>
      <c r="N64" s="301">
        <v>366735.9</v>
      </c>
      <c r="O64" s="301">
        <v>46635</v>
      </c>
      <c r="P64" s="298">
        <v>88567.6</v>
      </c>
      <c r="Q64" s="298">
        <v>130978.8</v>
      </c>
      <c r="R64" s="298">
        <v>0</v>
      </c>
      <c r="S64" s="298">
        <v>0</v>
      </c>
      <c r="T64" s="298">
        <v>422.4</v>
      </c>
      <c r="U64" s="301">
        <v>3801.4</v>
      </c>
      <c r="V64" s="302">
        <f t="shared" si="1"/>
        <v>5910.1405800702896</v>
      </c>
      <c r="W64" s="303">
        <v>56338</v>
      </c>
    </row>
    <row r="65" spans="1:23">
      <c r="A65" s="296">
        <v>61</v>
      </c>
      <c r="B65" s="297">
        <v>2011247</v>
      </c>
      <c r="C65" s="305" t="s">
        <v>725</v>
      </c>
      <c r="D65" s="299">
        <v>97</v>
      </c>
      <c r="E65" s="296" t="s">
        <v>110</v>
      </c>
      <c r="F65" s="300">
        <v>6034480.5999999996</v>
      </c>
      <c r="G65" s="300">
        <v>990714.1</v>
      </c>
      <c r="H65" s="300">
        <v>7025194.7000000002</v>
      </c>
      <c r="I65" s="301">
        <v>6252063.2999999998</v>
      </c>
      <c r="J65" s="301">
        <v>244807.6</v>
      </c>
      <c r="K65" s="301">
        <v>6496870.9000000004</v>
      </c>
      <c r="L65" s="301">
        <v>528323.80000000005</v>
      </c>
      <c r="M65" s="301">
        <v>84062.9</v>
      </c>
      <c r="N65" s="298">
        <v>0</v>
      </c>
      <c r="O65" s="301">
        <v>84062.9</v>
      </c>
      <c r="P65" s="298">
        <v>0.9</v>
      </c>
      <c r="Q65" s="298">
        <v>81530.7</v>
      </c>
      <c r="R65" s="298">
        <v>0</v>
      </c>
      <c r="S65" s="298">
        <v>0</v>
      </c>
      <c r="T65" s="298">
        <v>253.3</v>
      </c>
      <c r="U65" s="301">
        <v>2279.8000000000002</v>
      </c>
      <c r="V65" s="302">
        <f t="shared" si="1"/>
        <v>592.6979048405409</v>
      </c>
      <c r="W65" s="303">
        <v>891388</v>
      </c>
    </row>
    <row r="66" spans="1:23">
      <c r="A66" s="296">
        <v>62</v>
      </c>
      <c r="B66" s="297">
        <v>5106583</v>
      </c>
      <c r="C66" s="305" t="s">
        <v>534</v>
      </c>
      <c r="D66" s="299">
        <v>523</v>
      </c>
      <c r="E66" s="296" t="s">
        <v>86</v>
      </c>
      <c r="F66" s="300">
        <v>67515.100000000006</v>
      </c>
      <c r="G66" s="300">
        <v>244558.9</v>
      </c>
      <c r="H66" s="300">
        <v>312074</v>
      </c>
      <c r="I66" s="301">
        <v>6033.8</v>
      </c>
      <c r="J66" s="298">
        <v>0</v>
      </c>
      <c r="K66" s="301">
        <v>6033.8</v>
      </c>
      <c r="L66" s="301">
        <v>306040.2</v>
      </c>
      <c r="M66" s="301">
        <v>210559.6</v>
      </c>
      <c r="N66" s="301">
        <v>143073.5</v>
      </c>
      <c r="O66" s="301">
        <v>67486.100000000006</v>
      </c>
      <c r="P66" s="298">
        <v>0</v>
      </c>
      <c r="Q66" s="298">
        <v>65252.7</v>
      </c>
      <c r="R66" s="298">
        <v>0</v>
      </c>
      <c r="S66" s="298">
        <v>0</v>
      </c>
      <c r="T66" s="298">
        <v>223.3</v>
      </c>
      <c r="U66" s="301">
        <v>2010.1</v>
      </c>
      <c r="V66" s="302">
        <f t="shared" si="1"/>
        <v>4084.7841755425643</v>
      </c>
      <c r="W66" s="303">
        <v>74922</v>
      </c>
    </row>
    <row r="67" spans="1:23">
      <c r="A67" s="296">
        <v>63</v>
      </c>
      <c r="B67" s="297">
        <v>2861836</v>
      </c>
      <c r="C67" s="305" t="s">
        <v>596</v>
      </c>
      <c r="D67" s="299">
        <v>80</v>
      </c>
      <c r="E67" s="296" t="s">
        <v>163</v>
      </c>
      <c r="F67" s="300">
        <v>2740</v>
      </c>
      <c r="G67" s="300">
        <v>50180.800000000003</v>
      </c>
      <c r="H67" s="300">
        <v>52920.800000000003</v>
      </c>
      <c r="I67" s="301">
        <v>26928.799999999999</v>
      </c>
      <c r="J67" s="298">
        <v>0</v>
      </c>
      <c r="K67" s="301">
        <v>26928.799999999999</v>
      </c>
      <c r="L67" s="301">
        <v>25992</v>
      </c>
      <c r="M67" s="301">
        <v>15105.6</v>
      </c>
      <c r="N67" s="298">
        <v>0</v>
      </c>
      <c r="O67" s="301">
        <v>15105.6</v>
      </c>
      <c r="P67" s="298">
        <v>0</v>
      </c>
      <c r="Q67" s="298">
        <v>13000.8</v>
      </c>
      <c r="R67" s="298">
        <v>0</v>
      </c>
      <c r="S67" s="298">
        <v>0</v>
      </c>
      <c r="T67" s="298">
        <v>210.4</v>
      </c>
      <c r="U67" s="301">
        <v>1894.4</v>
      </c>
      <c r="V67" s="302">
        <f t="shared" si="1"/>
        <v>364.18153031343263</v>
      </c>
      <c r="W67" s="303">
        <v>71371</v>
      </c>
    </row>
    <row r="68" spans="1:23">
      <c r="A68" s="296">
        <v>64</v>
      </c>
      <c r="B68" s="297">
        <v>2773678</v>
      </c>
      <c r="C68" s="305" t="s">
        <v>528</v>
      </c>
      <c r="D68" s="299">
        <v>71</v>
      </c>
      <c r="E68" s="296" t="s">
        <v>107</v>
      </c>
      <c r="F68" s="300">
        <v>6178681.4000000004</v>
      </c>
      <c r="G68" s="300">
        <v>2432614.1</v>
      </c>
      <c r="H68" s="300">
        <v>8611295.5</v>
      </c>
      <c r="I68" s="301">
        <v>1312078</v>
      </c>
      <c r="J68" s="298">
        <v>0</v>
      </c>
      <c r="K68" s="301">
        <v>1312078</v>
      </c>
      <c r="L68" s="301">
        <v>7299217.5</v>
      </c>
      <c r="M68" s="301">
        <v>160776.1</v>
      </c>
      <c r="N68" s="298">
        <v>0</v>
      </c>
      <c r="O68" s="301">
        <v>160776.1</v>
      </c>
      <c r="P68" s="298">
        <v>14983</v>
      </c>
      <c r="Q68" s="298">
        <v>172190.3</v>
      </c>
      <c r="R68" s="298">
        <v>-28.8</v>
      </c>
      <c r="S68" s="298">
        <v>0</v>
      </c>
      <c r="T68" s="301">
        <v>1661.2</v>
      </c>
      <c r="U68" s="301">
        <v>1878.8</v>
      </c>
      <c r="V68" s="302">
        <f t="shared" si="1"/>
        <v>6602.7645029892019</v>
      </c>
      <c r="W68" s="303">
        <v>1105479</v>
      </c>
    </row>
    <row r="69" spans="1:23">
      <c r="A69" s="296">
        <v>65</v>
      </c>
      <c r="B69" s="297">
        <v>5191823</v>
      </c>
      <c r="C69" s="305" t="s">
        <v>487</v>
      </c>
      <c r="D69" s="299">
        <v>86</v>
      </c>
      <c r="E69" s="296" t="s">
        <v>145</v>
      </c>
      <c r="F69" s="300">
        <v>338415.7</v>
      </c>
      <c r="G69" s="300">
        <v>335706.9</v>
      </c>
      <c r="H69" s="300">
        <v>674122.6</v>
      </c>
      <c r="I69" s="301">
        <v>66461.5</v>
      </c>
      <c r="J69" s="298">
        <v>0</v>
      </c>
      <c r="K69" s="301">
        <v>66461.5</v>
      </c>
      <c r="L69" s="301">
        <v>607661.1</v>
      </c>
      <c r="M69" s="301">
        <v>200151.4</v>
      </c>
      <c r="N69" s="301">
        <v>139200</v>
      </c>
      <c r="O69" s="301">
        <v>60951.4</v>
      </c>
      <c r="P69" s="298">
        <v>0</v>
      </c>
      <c r="Q69" s="298">
        <v>59082.6</v>
      </c>
      <c r="R69" s="298">
        <v>0</v>
      </c>
      <c r="S69" s="298">
        <v>0</v>
      </c>
      <c r="T69" s="298">
        <v>0</v>
      </c>
      <c r="U69" s="301">
        <v>1868.8</v>
      </c>
      <c r="V69" s="302">
        <f t="shared" ref="V69:V100" si="2">(L69/W69)*1000</f>
        <v>3189.9727546183285</v>
      </c>
      <c r="W69" s="303">
        <v>190491</v>
      </c>
    </row>
    <row r="70" spans="1:23">
      <c r="A70" s="296">
        <v>66</v>
      </c>
      <c r="B70" s="297">
        <v>4489969</v>
      </c>
      <c r="C70" s="305" t="s">
        <v>540</v>
      </c>
      <c r="D70" s="299">
        <v>320</v>
      </c>
      <c r="E70" s="296" t="s">
        <v>136</v>
      </c>
      <c r="F70" s="300">
        <v>9061.6</v>
      </c>
      <c r="G70" s="300">
        <v>6417.7</v>
      </c>
      <c r="H70" s="300">
        <v>15479.3</v>
      </c>
      <c r="I70" s="301">
        <v>4770.3</v>
      </c>
      <c r="J70" s="298">
        <v>0</v>
      </c>
      <c r="K70" s="301">
        <v>4770.3</v>
      </c>
      <c r="L70" s="301">
        <v>10709</v>
      </c>
      <c r="M70" s="301">
        <v>11023.7</v>
      </c>
      <c r="N70" s="301">
        <v>4247.7</v>
      </c>
      <c r="O70" s="301">
        <v>6776</v>
      </c>
      <c r="P70" s="298">
        <v>0</v>
      </c>
      <c r="Q70" s="298">
        <v>4989.3</v>
      </c>
      <c r="R70" s="298">
        <v>0</v>
      </c>
      <c r="S70" s="298">
        <v>0</v>
      </c>
      <c r="T70" s="298">
        <v>178.7</v>
      </c>
      <c r="U70" s="301">
        <v>1608</v>
      </c>
      <c r="V70" s="302">
        <f t="shared" si="2"/>
        <v>166.89263951875574</v>
      </c>
      <c r="W70" s="303">
        <v>64167</v>
      </c>
    </row>
    <row r="71" spans="1:23">
      <c r="A71" s="296">
        <v>67</v>
      </c>
      <c r="B71" s="297">
        <v>5126142</v>
      </c>
      <c r="C71" s="305" t="s">
        <v>331</v>
      </c>
      <c r="D71" s="299">
        <v>369</v>
      </c>
      <c r="E71" s="296" t="s">
        <v>118</v>
      </c>
      <c r="F71" s="300">
        <v>339528.5</v>
      </c>
      <c r="G71" s="300">
        <v>911327.2</v>
      </c>
      <c r="H71" s="300">
        <v>1250855.7</v>
      </c>
      <c r="I71" s="301">
        <v>181284.9</v>
      </c>
      <c r="J71" s="301">
        <v>37092.199999999997</v>
      </c>
      <c r="K71" s="301">
        <v>218377.1</v>
      </c>
      <c r="L71" s="301">
        <v>1032478.6</v>
      </c>
      <c r="M71" s="301">
        <v>134281.79999999999</v>
      </c>
      <c r="N71" s="301">
        <v>65523.3</v>
      </c>
      <c r="O71" s="301">
        <v>68758.5</v>
      </c>
      <c r="P71" s="298">
        <v>1430.2</v>
      </c>
      <c r="Q71" s="298">
        <v>68878.3</v>
      </c>
      <c r="R71" s="298">
        <v>0</v>
      </c>
      <c r="S71" s="298">
        <v>0</v>
      </c>
      <c r="T71" s="298">
        <v>131.1</v>
      </c>
      <c r="U71" s="301">
        <v>1179.3</v>
      </c>
      <c r="V71" s="302">
        <f t="shared" si="2"/>
        <v>7422.2968261385286</v>
      </c>
      <c r="W71" s="303">
        <v>139105</v>
      </c>
    </row>
    <row r="72" spans="1:23">
      <c r="A72" s="296">
        <v>68</v>
      </c>
      <c r="B72" s="297">
        <v>3309665</v>
      </c>
      <c r="C72" s="305" t="s">
        <v>873</v>
      </c>
      <c r="D72" s="299">
        <v>431</v>
      </c>
      <c r="E72" s="296" t="s">
        <v>155</v>
      </c>
      <c r="F72" s="300">
        <v>425245.6</v>
      </c>
      <c r="G72" s="300">
        <v>177675.1</v>
      </c>
      <c r="H72" s="300">
        <v>602920.69999999995</v>
      </c>
      <c r="I72" s="301">
        <v>318023</v>
      </c>
      <c r="J72" s="298">
        <v>0</v>
      </c>
      <c r="K72" s="301">
        <v>318023</v>
      </c>
      <c r="L72" s="301">
        <v>284897.7</v>
      </c>
      <c r="M72" s="301">
        <v>454783.2</v>
      </c>
      <c r="N72" s="301">
        <v>378259.3</v>
      </c>
      <c r="O72" s="301">
        <v>76523.899999999994</v>
      </c>
      <c r="P72" s="298">
        <v>0</v>
      </c>
      <c r="Q72" s="298">
        <v>75495.199999999997</v>
      </c>
      <c r="R72" s="298">
        <v>0</v>
      </c>
      <c r="S72" s="298">
        <v>0</v>
      </c>
      <c r="T72" s="298">
        <v>102.9</v>
      </c>
      <c r="U72" s="298">
        <v>925.8</v>
      </c>
      <c r="V72" s="302">
        <f t="shared" si="2"/>
        <v>1079.8942460768706</v>
      </c>
      <c r="W72" s="303">
        <v>263820</v>
      </c>
    </row>
    <row r="73" spans="1:23">
      <c r="A73" s="296">
        <v>69</v>
      </c>
      <c r="B73" s="297">
        <v>2116545</v>
      </c>
      <c r="C73" s="305" t="s">
        <v>783</v>
      </c>
      <c r="D73" s="299">
        <v>322</v>
      </c>
      <c r="E73" s="296" t="s">
        <v>191</v>
      </c>
      <c r="F73" s="300">
        <v>23096.9</v>
      </c>
      <c r="G73" s="300">
        <v>4520.8999999999996</v>
      </c>
      <c r="H73" s="300">
        <v>27617.8</v>
      </c>
      <c r="I73" s="298">
        <v>610</v>
      </c>
      <c r="J73" s="298">
        <v>0</v>
      </c>
      <c r="K73" s="298">
        <v>610</v>
      </c>
      <c r="L73" s="301">
        <v>27007.8</v>
      </c>
      <c r="M73" s="301">
        <v>14000</v>
      </c>
      <c r="N73" s="301">
        <v>13400</v>
      </c>
      <c r="O73" s="298">
        <v>600</v>
      </c>
      <c r="P73" s="298">
        <v>0</v>
      </c>
      <c r="Q73" s="298">
        <v>0</v>
      </c>
      <c r="R73" s="298">
        <v>0</v>
      </c>
      <c r="S73" s="298">
        <v>0</v>
      </c>
      <c r="T73" s="298">
        <v>60</v>
      </c>
      <c r="U73" s="298">
        <v>540</v>
      </c>
      <c r="V73" s="302">
        <f t="shared" si="2"/>
        <v>100.46460761301793</v>
      </c>
      <c r="W73" s="303">
        <v>268829</v>
      </c>
    </row>
    <row r="74" spans="1:23" s="15" customFormat="1">
      <c r="A74" s="296">
        <v>70</v>
      </c>
      <c r="B74" s="314">
        <v>5221978</v>
      </c>
      <c r="C74" s="305" t="s">
        <v>751</v>
      </c>
      <c r="D74" s="299">
        <v>110</v>
      </c>
      <c r="E74" s="296" t="s">
        <v>25</v>
      </c>
      <c r="F74" s="305">
        <v>513.79999999999995</v>
      </c>
      <c r="G74" s="305">
        <v>51236.6</v>
      </c>
      <c r="H74" s="305">
        <v>51750.400000000001</v>
      </c>
      <c r="I74" s="298">
        <v>1166.2</v>
      </c>
      <c r="J74" s="298">
        <v>0</v>
      </c>
      <c r="K74" s="298">
        <v>1166.2</v>
      </c>
      <c r="L74" s="298">
        <v>50584.2</v>
      </c>
      <c r="M74" s="298">
        <v>8000</v>
      </c>
      <c r="N74" s="298">
        <v>0</v>
      </c>
      <c r="O74" s="298">
        <v>8000</v>
      </c>
      <c r="P74" s="298">
        <v>0</v>
      </c>
      <c r="Q74" s="298">
        <v>7480</v>
      </c>
      <c r="R74" s="298">
        <v>0</v>
      </c>
      <c r="S74" s="298">
        <v>0</v>
      </c>
      <c r="T74" s="298">
        <v>52</v>
      </c>
      <c r="U74" s="298">
        <v>468</v>
      </c>
      <c r="V74" s="315">
        <v>235.32350806676715</v>
      </c>
      <c r="W74" s="298">
        <v>214956</v>
      </c>
    </row>
    <row r="75" spans="1:23">
      <c r="A75" s="296">
        <v>71</v>
      </c>
      <c r="B75" s="297">
        <v>5468361</v>
      </c>
      <c r="C75" s="305" t="s">
        <v>347</v>
      </c>
      <c r="D75" s="299">
        <v>187</v>
      </c>
      <c r="E75" s="296" t="s">
        <v>119</v>
      </c>
      <c r="F75" s="300">
        <v>11806.3</v>
      </c>
      <c r="G75" s="300">
        <v>28386.3</v>
      </c>
      <c r="H75" s="300">
        <v>40192.6</v>
      </c>
      <c r="I75" s="298">
        <v>0</v>
      </c>
      <c r="J75" s="298">
        <v>0</v>
      </c>
      <c r="K75" s="298">
        <v>0</v>
      </c>
      <c r="L75" s="301">
        <v>40192.6</v>
      </c>
      <c r="M75" s="301">
        <v>12000</v>
      </c>
      <c r="N75" s="298">
        <v>0</v>
      </c>
      <c r="O75" s="301">
        <v>12000</v>
      </c>
      <c r="P75" s="298">
        <v>0</v>
      </c>
      <c r="Q75" s="298">
        <v>11500</v>
      </c>
      <c r="R75" s="298">
        <v>0</v>
      </c>
      <c r="S75" s="298">
        <v>0</v>
      </c>
      <c r="T75" s="298">
        <v>50</v>
      </c>
      <c r="U75" s="298">
        <v>450</v>
      </c>
      <c r="V75" s="302">
        <f t="shared" ref="V75:V106" si="3">(L75/W75)*1000</f>
        <v>321.73641574077038</v>
      </c>
      <c r="W75" s="303">
        <v>124924</v>
      </c>
    </row>
    <row r="76" spans="1:23">
      <c r="A76" s="296">
        <v>72</v>
      </c>
      <c r="B76" s="297">
        <v>5112494</v>
      </c>
      <c r="C76" s="305" t="s">
        <v>648</v>
      </c>
      <c r="D76" s="299">
        <v>120</v>
      </c>
      <c r="E76" s="296" t="s">
        <v>27</v>
      </c>
      <c r="F76" s="305">
        <v>0</v>
      </c>
      <c r="G76" s="300">
        <v>20000</v>
      </c>
      <c r="H76" s="300">
        <v>20000</v>
      </c>
      <c r="I76" s="301">
        <v>28587.5</v>
      </c>
      <c r="J76" s="298">
        <v>0</v>
      </c>
      <c r="K76" s="301">
        <v>28587.5</v>
      </c>
      <c r="L76" s="301">
        <v>-8587.5</v>
      </c>
      <c r="M76" s="298">
        <v>0</v>
      </c>
      <c r="N76" s="298">
        <v>0</v>
      </c>
      <c r="O76" s="298">
        <v>0</v>
      </c>
      <c r="P76" s="298">
        <v>0</v>
      </c>
      <c r="Q76" s="298">
        <v>0</v>
      </c>
      <c r="R76" s="298">
        <v>0</v>
      </c>
      <c r="S76" s="298">
        <v>0</v>
      </c>
      <c r="T76" s="298">
        <v>0</v>
      </c>
      <c r="U76" s="298">
        <v>0</v>
      </c>
      <c r="V76" s="302">
        <f t="shared" si="3"/>
        <v>-171.75</v>
      </c>
      <c r="W76" s="303">
        <v>50000</v>
      </c>
    </row>
    <row r="77" spans="1:23" s="15" customFormat="1">
      <c r="A77" s="296">
        <v>73</v>
      </c>
      <c r="B77" s="314">
        <v>5039754</v>
      </c>
      <c r="C77" s="305" t="s">
        <v>420</v>
      </c>
      <c r="D77" s="299">
        <v>152</v>
      </c>
      <c r="E77" s="296" t="s">
        <v>33</v>
      </c>
      <c r="F77" s="300">
        <v>4304.2</v>
      </c>
      <c r="G77" s="300">
        <v>6670</v>
      </c>
      <c r="H77" s="300">
        <v>10974.2</v>
      </c>
      <c r="I77" s="298">
        <v>0</v>
      </c>
      <c r="J77" s="298">
        <v>0</v>
      </c>
      <c r="K77" s="298">
        <v>0</v>
      </c>
      <c r="L77" s="301">
        <v>10974.2</v>
      </c>
      <c r="M77" s="298">
        <v>0</v>
      </c>
      <c r="N77" s="298">
        <v>0</v>
      </c>
      <c r="O77" s="298">
        <v>0</v>
      </c>
      <c r="P77" s="298">
        <v>0</v>
      </c>
      <c r="Q77" s="298">
        <v>0</v>
      </c>
      <c r="R77" s="298">
        <v>0</v>
      </c>
      <c r="S77" s="298">
        <v>0</v>
      </c>
      <c r="T77" s="298">
        <v>0</v>
      </c>
      <c r="U77" s="298">
        <v>0</v>
      </c>
      <c r="V77" s="302">
        <f t="shared" si="3"/>
        <v>152.08780852862509</v>
      </c>
      <c r="W77" s="303">
        <v>72157</v>
      </c>
    </row>
    <row r="78" spans="1:23" s="15" customFormat="1">
      <c r="A78" s="296">
        <v>74</v>
      </c>
      <c r="B78" s="311">
        <v>5473489</v>
      </c>
      <c r="C78" s="305" t="s">
        <v>843</v>
      </c>
      <c r="D78" s="299">
        <v>175</v>
      </c>
      <c r="E78" s="296" t="s">
        <v>36</v>
      </c>
      <c r="F78" s="305">
        <v>0</v>
      </c>
      <c r="G78" s="305">
        <v>45.3</v>
      </c>
      <c r="H78" s="305">
        <v>45.3</v>
      </c>
      <c r="I78" s="301">
        <v>7704.9</v>
      </c>
      <c r="J78" s="298">
        <v>0</v>
      </c>
      <c r="K78" s="301">
        <v>7704.9</v>
      </c>
      <c r="L78" s="301">
        <v>-7659.6</v>
      </c>
      <c r="M78" s="298">
        <v>0</v>
      </c>
      <c r="N78" s="298">
        <v>0</v>
      </c>
      <c r="O78" s="298">
        <v>0</v>
      </c>
      <c r="P78" s="298">
        <v>0</v>
      </c>
      <c r="Q78" s="298">
        <v>0</v>
      </c>
      <c r="R78" s="298">
        <v>0</v>
      </c>
      <c r="S78" s="298">
        <v>0</v>
      </c>
      <c r="T78" s="298">
        <v>0</v>
      </c>
      <c r="U78" s="298">
        <v>0</v>
      </c>
      <c r="V78" s="302">
        <f t="shared" si="3"/>
        <v>-211.6203895565686</v>
      </c>
      <c r="W78" s="303">
        <v>36195</v>
      </c>
    </row>
    <row r="79" spans="1:23" s="15" customFormat="1">
      <c r="A79" s="296">
        <v>75</v>
      </c>
      <c r="B79" s="311">
        <v>2062089</v>
      </c>
      <c r="C79" s="305" t="s">
        <v>451</v>
      </c>
      <c r="D79" s="299">
        <v>308</v>
      </c>
      <c r="E79" s="296" t="s">
        <v>50</v>
      </c>
      <c r="F79" s="300">
        <v>159441.4</v>
      </c>
      <c r="G79" s="300">
        <v>314141.3</v>
      </c>
      <c r="H79" s="300">
        <v>473582.7</v>
      </c>
      <c r="I79" s="301">
        <v>31619.200000000001</v>
      </c>
      <c r="J79" s="298">
        <v>0</v>
      </c>
      <c r="K79" s="301">
        <v>31619.200000000001</v>
      </c>
      <c r="L79" s="301">
        <v>441963.5</v>
      </c>
      <c r="M79" s="298">
        <v>0</v>
      </c>
      <c r="N79" s="298">
        <v>0</v>
      </c>
      <c r="O79" s="298">
        <v>0</v>
      </c>
      <c r="P79" s="298">
        <v>0</v>
      </c>
      <c r="Q79" s="298">
        <v>0</v>
      </c>
      <c r="R79" s="298">
        <v>0</v>
      </c>
      <c r="S79" s="298">
        <v>0</v>
      </c>
      <c r="T79" s="298">
        <v>0</v>
      </c>
      <c r="U79" s="298">
        <v>0</v>
      </c>
      <c r="V79" s="302">
        <f t="shared" si="3"/>
        <v>3903.8573649436453</v>
      </c>
      <c r="W79" s="303">
        <v>113212</v>
      </c>
    </row>
    <row r="80" spans="1:23">
      <c r="A80" s="296">
        <v>76</v>
      </c>
      <c r="B80" s="297">
        <v>2844753</v>
      </c>
      <c r="C80" s="305" t="s">
        <v>404</v>
      </c>
      <c r="D80" s="299">
        <v>438</v>
      </c>
      <c r="E80" s="296" t="s">
        <v>63</v>
      </c>
      <c r="F80" s="300">
        <v>2222416.6</v>
      </c>
      <c r="G80" s="300">
        <v>143221.6</v>
      </c>
      <c r="H80" s="300">
        <v>2365638.2000000002</v>
      </c>
      <c r="I80" s="301">
        <v>292372.7</v>
      </c>
      <c r="J80" s="298">
        <v>0</v>
      </c>
      <c r="K80" s="301">
        <v>292372.7</v>
      </c>
      <c r="L80" s="301">
        <v>2073265.5</v>
      </c>
      <c r="M80" s="298">
        <v>0</v>
      </c>
      <c r="N80" s="298">
        <v>0</v>
      </c>
      <c r="O80" s="298">
        <v>0</v>
      </c>
      <c r="P80" s="298">
        <v>0</v>
      </c>
      <c r="Q80" s="298">
        <v>0</v>
      </c>
      <c r="R80" s="298">
        <v>0</v>
      </c>
      <c r="S80" s="298">
        <v>0</v>
      </c>
      <c r="T80" s="298">
        <v>0</v>
      </c>
      <c r="U80" s="298">
        <v>0</v>
      </c>
      <c r="V80" s="302">
        <f t="shared" si="3"/>
        <v>104.06559780439167</v>
      </c>
      <c r="W80" s="303">
        <v>19922679</v>
      </c>
    </row>
    <row r="81" spans="1:23">
      <c r="A81" s="296">
        <v>77</v>
      </c>
      <c r="B81" s="297">
        <v>5568927</v>
      </c>
      <c r="C81" s="305" t="s">
        <v>670</v>
      </c>
      <c r="D81" s="299">
        <v>531</v>
      </c>
      <c r="E81" s="296" t="s">
        <v>91</v>
      </c>
      <c r="F81" s="300">
        <v>198734.6</v>
      </c>
      <c r="G81" s="300">
        <v>2338767.6</v>
      </c>
      <c r="H81" s="300">
        <v>2537502.2000000002</v>
      </c>
      <c r="I81" s="301">
        <v>5025966.2</v>
      </c>
      <c r="J81" s="298">
        <v>0</v>
      </c>
      <c r="K81" s="301">
        <v>5025966.2</v>
      </c>
      <c r="L81" s="301">
        <v>-2488464</v>
      </c>
      <c r="M81" s="298">
        <v>0</v>
      </c>
      <c r="N81" s="298">
        <v>0</v>
      </c>
      <c r="O81" s="298">
        <v>0</v>
      </c>
      <c r="P81" s="298">
        <v>0</v>
      </c>
      <c r="Q81" s="298">
        <v>0</v>
      </c>
      <c r="R81" s="298">
        <v>0</v>
      </c>
      <c r="S81" s="298">
        <v>0</v>
      </c>
      <c r="T81" s="298">
        <v>0</v>
      </c>
      <c r="U81" s="298">
        <v>0</v>
      </c>
      <c r="V81" s="302">
        <f t="shared" si="3"/>
        <v>-197.2510330562954</v>
      </c>
      <c r="W81" s="303">
        <v>12615721</v>
      </c>
    </row>
    <row r="82" spans="1:23" s="15" customFormat="1">
      <c r="A82" s="296">
        <v>78</v>
      </c>
      <c r="B82" s="314">
        <v>6060854</v>
      </c>
      <c r="C82" s="305" t="s">
        <v>353</v>
      </c>
      <c r="D82" s="299">
        <v>119</v>
      </c>
      <c r="E82" s="296" t="s">
        <v>112</v>
      </c>
      <c r="F82" s="300">
        <v>95737.2</v>
      </c>
      <c r="G82" s="300">
        <v>751690.9</v>
      </c>
      <c r="H82" s="300">
        <v>847428.1</v>
      </c>
      <c r="I82" s="301">
        <v>43768.1</v>
      </c>
      <c r="J82" s="298">
        <v>0</v>
      </c>
      <c r="K82" s="301">
        <v>43768.1</v>
      </c>
      <c r="L82" s="301">
        <v>803660</v>
      </c>
      <c r="M82" s="298">
        <v>0</v>
      </c>
      <c r="N82" s="298">
        <v>0</v>
      </c>
      <c r="O82" s="298">
        <v>0</v>
      </c>
      <c r="P82" s="298">
        <v>0</v>
      </c>
      <c r="Q82" s="298">
        <v>0</v>
      </c>
      <c r="R82" s="298">
        <v>0</v>
      </c>
      <c r="S82" s="298">
        <v>0</v>
      </c>
      <c r="T82" s="298">
        <v>0</v>
      </c>
      <c r="U82" s="298">
        <v>0</v>
      </c>
      <c r="V82" s="302">
        <f t="shared" si="3"/>
        <v>7779.2620126224492</v>
      </c>
      <c r="W82" s="303">
        <v>103308</v>
      </c>
    </row>
    <row r="83" spans="1:23">
      <c r="A83" s="296">
        <v>79</v>
      </c>
      <c r="B83" s="297">
        <v>2037467</v>
      </c>
      <c r="C83" s="305" t="s">
        <v>374</v>
      </c>
      <c r="D83" s="299">
        <v>394</v>
      </c>
      <c r="E83" s="296" t="s">
        <v>113</v>
      </c>
      <c r="F83" s="305">
        <v>390.7</v>
      </c>
      <c r="G83" s="300">
        <v>10170.4</v>
      </c>
      <c r="H83" s="300">
        <v>10561.1</v>
      </c>
      <c r="I83" s="298">
        <v>500</v>
      </c>
      <c r="J83" s="298">
        <v>0</v>
      </c>
      <c r="K83" s="298">
        <v>500</v>
      </c>
      <c r="L83" s="301">
        <v>10061.1</v>
      </c>
      <c r="M83" s="298">
        <v>0</v>
      </c>
      <c r="N83" s="298">
        <v>0</v>
      </c>
      <c r="O83" s="298">
        <v>0</v>
      </c>
      <c r="P83" s="298">
        <v>0</v>
      </c>
      <c r="Q83" s="298">
        <v>0</v>
      </c>
      <c r="R83" s="298">
        <v>0</v>
      </c>
      <c r="S83" s="298">
        <v>0</v>
      </c>
      <c r="T83" s="298">
        <v>0</v>
      </c>
      <c r="U83" s="298">
        <v>0</v>
      </c>
      <c r="V83" s="302">
        <f t="shared" si="3"/>
        <v>125.7008995502249</v>
      </c>
      <c r="W83" s="303">
        <v>80040</v>
      </c>
    </row>
    <row r="84" spans="1:23">
      <c r="A84" s="296">
        <v>80</v>
      </c>
      <c r="B84" s="297">
        <v>2071304</v>
      </c>
      <c r="C84" s="305" t="s">
        <v>732</v>
      </c>
      <c r="D84" s="299">
        <v>420</v>
      </c>
      <c r="E84" s="296" t="s">
        <v>116</v>
      </c>
      <c r="F84" s="300">
        <v>296381.5</v>
      </c>
      <c r="G84" s="300">
        <v>30524.799999999999</v>
      </c>
      <c r="H84" s="300">
        <v>326906.3</v>
      </c>
      <c r="I84" s="301">
        <v>296381.5</v>
      </c>
      <c r="J84" s="298">
        <v>0</v>
      </c>
      <c r="K84" s="301">
        <v>296381.5</v>
      </c>
      <c r="L84" s="301">
        <v>30524.799999999999</v>
      </c>
      <c r="M84" s="298">
        <v>0</v>
      </c>
      <c r="N84" s="298">
        <v>0</v>
      </c>
      <c r="O84" s="298">
        <v>0</v>
      </c>
      <c r="P84" s="298">
        <v>0</v>
      </c>
      <c r="Q84" s="298">
        <v>0</v>
      </c>
      <c r="R84" s="298">
        <v>0</v>
      </c>
      <c r="S84" s="298">
        <v>0</v>
      </c>
      <c r="T84" s="298">
        <v>0</v>
      </c>
      <c r="U84" s="298">
        <v>0</v>
      </c>
      <c r="V84" s="302">
        <f t="shared" si="3"/>
        <v>99.999999999999986</v>
      </c>
      <c r="W84" s="303">
        <v>305248</v>
      </c>
    </row>
    <row r="85" spans="1:23">
      <c r="A85" s="296">
        <v>81</v>
      </c>
      <c r="B85" s="297">
        <v>2075938</v>
      </c>
      <c r="C85" s="305" t="s">
        <v>531</v>
      </c>
      <c r="D85" s="299">
        <v>254</v>
      </c>
      <c r="E85" s="296" t="s">
        <v>127</v>
      </c>
      <c r="F85" s="305">
        <v>0</v>
      </c>
      <c r="G85" s="300">
        <v>18208028</v>
      </c>
      <c r="H85" s="300">
        <v>18208028</v>
      </c>
      <c r="I85" s="301">
        <v>1289386.1000000001</v>
      </c>
      <c r="J85" s="298">
        <v>0</v>
      </c>
      <c r="K85" s="301">
        <v>1289386.1000000001</v>
      </c>
      <c r="L85" s="301">
        <v>16918641.899999999</v>
      </c>
      <c r="M85" s="298">
        <v>0</v>
      </c>
      <c r="N85" s="298">
        <v>0</v>
      </c>
      <c r="O85" s="298">
        <v>0</v>
      </c>
      <c r="P85" s="298">
        <v>0</v>
      </c>
      <c r="Q85" s="298">
        <v>0</v>
      </c>
      <c r="R85" s="298">
        <v>0</v>
      </c>
      <c r="S85" s="298">
        <v>0</v>
      </c>
      <c r="T85" s="298">
        <v>0</v>
      </c>
      <c r="U85" s="298">
        <v>0</v>
      </c>
      <c r="V85" s="302">
        <f t="shared" si="3"/>
        <v>306908.57127308345</v>
      </c>
      <c r="W85" s="303">
        <v>55126</v>
      </c>
    </row>
    <row r="86" spans="1:23">
      <c r="A86" s="296">
        <v>82</v>
      </c>
      <c r="B86" s="297">
        <v>2649624</v>
      </c>
      <c r="C86" s="305" t="s">
        <v>550</v>
      </c>
      <c r="D86" s="299">
        <v>300</v>
      </c>
      <c r="E86" s="296" t="s">
        <v>133</v>
      </c>
      <c r="F86" s="300">
        <v>16997.5</v>
      </c>
      <c r="G86" s="300">
        <v>10563</v>
      </c>
      <c r="H86" s="300">
        <v>27560.5</v>
      </c>
      <c r="I86" s="301">
        <v>44022.9</v>
      </c>
      <c r="J86" s="298">
        <v>0</v>
      </c>
      <c r="K86" s="301">
        <v>44022.9</v>
      </c>
      <c r="L86" s="301">
        <v>-16462.400000000001</v>
      </c>
      <c r="M86" s="298">
        <v>0</v>
      </c>
      <c r="N86" s="298">
        <v>0</v>
      </c>
      <c r="O86" s="298">
        <v>0</v>
      </c>
      <c r="P86" s="298">
        <v>0</v>
      </c>
      <c r="Q86" s="298">
        <v>0</v>
      </c>
      <c r="R86" s="298">
        <v>0</v>
      </c>
      <c r="S86" s="298">
        <v>0</v>
      </c>
      <c r="T86" s="298">
        <v>0</v>
      </c>
      <c r="U86" s="298">
        <v>0</v>
      </c>
      <c r="V86" s="302">
        <f t="shared" si="3"/>
        <v>-233.77449588185175</v>
      </c>
      <c r="W86" s="303">
        <v>70420</v>
      </c>
    </row>
    <row r="87" spans="1:23">
      <c r="A87" s="296">
        <v>83</v>
      </c>
      <c r="B87" s="297">
        <v>2061783</v>
      </c>
      <c r="C87" s="305" t="s">
        <v>593</v>
      </c>
      <c r="D87" s="299">
        <v>136</v>
      </c>
      <c r="E87" s="296" t="s">
        <v>134</v>
      </c>
      <c r="F87" s="300">
        <v>25088.6</v>
      </c>
      <c r="G87" s="300">
        <v>32349</v>
      </c>
      <c r="H87" s="300">
        <v>57437.599999999999</v>
      </c>
      <c r="I87" s="301">
        <v>16293.6</v>
      </c>
      <c r="J87" s="298">
        <v>0</v>
      </c>
      <c r="K87" s="301">
        <v>16293.6</v>
      </c>
      <c r="L87" s="301">
        <v>41144</v>
      </c>
      <c r="M87" s="298">
        <v>0</v>
      </c>
      <c r="N87" s="298">
        <v>0</v>
      </c>
      <c r="O87" s="298">
        <v>0</v>
      </c>
      <c r="P87" s="298">
        <v>0</v>
      </c>
      <c r="Q87" s="298">
        <v>0</v>
      </c>
      <c r="R87" s="298">
        <v>0</v>
      </c>
      <c r="S87" s="298">
        <v>0</v>
      </c>
      <c r="T87" s="298">
        <v>0</v>
      </c>
      <c r="U87" s="298">
        <v>0</v>
      </c>
      <c r="V87" s="302">
        <f t="shared" si="3"/>
        <v>496.48248482581363</v>
      </c>
      <c r="W87" s="303">
        <v>82871</v>
      </c>
    </row>
    <row r="88" spans="1:23">
      <c r="A88" s="296">
        <v>84</v>
      </c>
      <c r="B88" s="297">
        <v>2702673</v>
      </c>
      <c r="C88" s="305" t="s">
        <v>548</v>
      </c>
      <c r="D88" s="299">
        <v>21</v>
      </c>
      <c r="E88" s="296" t="s">
        <v>138</v>
      </c>
      <c r="F88" s="300">
        <v>35609.4</v>
      </c>
      <c r="G88" s="300">
        <v>502545.1</v>
      </c>
      <c r="H88" s="300">
        <v>538154.5</v>
      </c>
      <c r="I88" s="301">
        <v>520160</v>
      </c>
      <c r="J88" s="298">
        <v>0</v>
      </c>
      <c r="K88" s="301">
        <v>520160</v>
      </c>
      <c r="L88" s="301">
        <v>17994.5</v>
      </c>
      <c r="M88" s="298">
        <v>0</v>
      </c>
      <c r="N88" s="298">
        <v>0</v>
      </c>
      <c r="O88" s="298">
        <v>0</v>
      </c>
      <c r="P88" s="298">
        <v>0</v>
      </c>
      <c r="Q88" s="298">
        <v>0</v>
      </c>
      <c r="R88" s="298">
        <v>0</v>
      </c>
      <c r="S88" s="298">
        <v>0</v>
      </c>
      <c r="T88" s="298">
        <v>0</v>
      </c>
      <c r="U88" s="298">
        <v>0</v>
      </c>
      <c r="V88" s="302">
        <f t="shared" si="3"/>
        <v>59.229062709833713</v>
      </c>
      <c r="W88" s="303">
        <v>303812</v>
      </c>
    </row>
    <row r="89" spans="1:23">
      <c r="A89" s="296">
        <v>85</v>
      </c>
      <c r="B89" s="297">
        <v>2074559</v>
      </c>
      <c r="C89" s="305" t="s">
        <v>935</v>
      </c>
      <c r="D89" s="299">
        <v>469</v>
      </c>
      <c r="E89" s="296" t="s">
        <v>139</v>
      </c>
      <c r="F89" s="300">
        <v>60162.8</v>
      </c>
      <c r="G89" s="300">
        <v>130485</v>
      </c>
      <c r="H89" s="300">
        <v>190647.8</v>
      </c>
      <c r="I89" s="301">
        <v>12128.5</v>
      </c>
      <c r="J89" s="298">
        <v>0</v>
      </c>
      <c r="K89" s="301">
        <v>12128.5</v>
      </c>
      <c r="L89" s="301">
        <v>178519.3</v>
      </c>
      <c r="M89" s="298">
        <v>0</v>
      </c>
      <c r="N89" s="298">
        <v>0</v>
      </c>
      <c r="O89" s="298">
        <v>0</v>
      </c>
      <c r="P89" s="298">
        <v>0</v>
      </c>
      <c r="Q89" s="298">
        <v>0</v>
      </c>
      <c r="R89" s="298">
        <v>0</v>
      </c>
      <c r="S89" s="298">
        <v>0</v>
      </c>
      <c r="T89" s="298">
        <v>0</v>
      </c>
      <c r="U89" s="298">
        <v>0</v>
      </c>
      <c r="V89" s="302">
        <f t="shared" si="3"/>
        <v>207.24056228675974</v>
      </c>
      <c r="W89" s="303">
        <v>861411</v>
      </c>
    </row>
    <row r="90" spans="1:23">
      <c r="A90" s="296">
        <v>86</v>
      </c>
      <c r="B90" s="297">
        <v>2099705</v>
      </c>
      <c r="C90" s="305" t="s">
        <v>919</v>
      </c>
      <c r="D90" s="299">
        <v>113</v>
      </c>
      <c r="E90" s="296" t="s">
        <v>143</v>
      </c>
      <c r="F90" s="300">
        <v>1299.5999999999999</v>
      </c>
      <c r="G90" s="300">
        <v>75104.2</v>
      </c>
      <c r="H90" s="300">
        <v>76403.8</v>
      </c>
      <c r="I90" s="301">
        <v>10790.2</v>
      </c>
      <c r="J90" s="298">
        <v>0</v>
      </c>
      <c r="K90" s="301">
        <v>10790.2</v>
      </c>
      <c r="L90" s="301">
        <v>65613.600000000006</v>
      </c>
      <c r="M90" s="298">
        <v>0</v>
      </c>
      <c r="N90" s="298">
        <v>0</v>
      </c>
      <c r="O90" s="298">
        <v>0</v>
      </c>
      <c r="P90" s="298">
        <v>0</v>
      </c>
      <c r="Q90" s="298">
        <v>0</v>
      </c>
      <c r="R90" s="298">
        <v>0</v>
      </c>
      <c r="S90" s="298">
        <v>0</v>
      </c>
      <c r="T90" s="298">
        <v>0</v>
      </c>
      <c r="U90" s="298">
        <v>0</v>
      </c>
      <c r="V90" s="302">
        <f t="shared" si="3"/>
        <v>153.71906635023348</v>
      </c>
      <c r="W90" s="303">
        <v>426841</v>
      </c>
    </row>
    <row r="91" spans="1:23">
      <c r="A91" s="296">
        <v>87</v>
      </c>
      <c r="B91" s="297">
        <v>2033291</v>
      </c>
      <c r="C91" s="305" t="s">
        <v>498</v>
      </c>
      <c r="D91" s="299">
        <v>263</v>
      </c>
      <c r="E91" s="296" t="s">
        <v>146</v>
      </c>
      <c r="F91" s="300">
        <v>168191.7</v>
      </c>
      <c r="G91" s="300">
        <v>184085.5</v>
      </c>
      <c r="H91" s="300">
        <v>352277.2</v>
      </c>
      <c r="I91" s="301">
        <v>152799.1</v>
      </c>
      <c r="J91" s="298">
        <v>0</v>
      </c>
      <c r="K91" s="301">
        <v>152799.1</v>
      </c>
      <c r="L91" s="301">
        <v>199478.1</v>
      </c>
      <c r="M91" s="298">
        <v>0</v>
      </c>
      <c r="N91" s="298">
        <v>0</v>
      </c>
      <c r="O91" s="298">
        <v>0</v>
      </c>
      <c r="P91" s="298">
        <v>0</v>
      </c>
      <c r="Q91" s="298">
        <v>0</v>
      </c>
      <c r="R91" s="298">
        <v>0</v>
      </c>
      <c r="S91" s="298">
        <v>0</v>
      </c>
      <c r="T91" s="298">
        <v>0</v>
      </c>
      <c r="U91" s="298">
        <v>0</v>
      </c>
      <c r="V91" s="302">
        <f t="shared" si="3"/>
        <v>349.4435442195342</v>
      </c>
      <c r="W91" s="303">
        <v>570845</v>
      </c>
    </row>
    <row r="92" spans="1:23">
      <c r="A92" s="296">
        <v>88</v>
      </c>
      <c r="B92" s="297">
        <v>2002515</v>
      </c>
      <c r="C92" s="305" t="s">
        <v>315</v>
      </c>
      <c r="D92" s="299">
        <v>32</v>
      </c>
      <c r="E92" s="296" t="s">
        <v>150</v>
      </c>
      <c r="F92" s="300">
        <v>950384.6</v>
      </c>
      <c r="G92" s="300">
        <v>36879.4</v>
      </c>
      <c r="H92" s="300">
        <v>987264</v>
      </c>
      <c r="I92" s="301">
        <v>1217749.8</v>
      </c>
      <c r="J92" s="298">
        <v>0</v>
      </c>
      <c r="K92" s="301">
        <v>1217749.8</v>
      </c>
      <c r="L92" s="301">
        <v>-230485.8</v>
      </c>
      <c r="M92" s="298">
        <v>0</v>
      </c>
      <c r="N92" s="298">
        <v>0</v>
      </c>
      <c r="O92" s="298">
        <v>0</v>
      </c>
      <c r="P92" s="298">
        <v>0</v>
      </c>
      <c r="Q92" s="298">
        <v>0</v>
      </c>
      <c r="R92" s="298">
        <v>0</v>
      </c>
      <c r="S92" s="298">
        <v>0</v>
      </c>
      <c r="T92" s="298">
        <v>0</v>
      </c>
      <c r="U92" s="298">
        <v>0</v>
      </c>
      <c r="V92" s="302">
        <f t="shared" si="3"/>
        <v>-352.97852594437143</v>
      </c>
      <c r="W92" s="303">
        <v>652974</v>
      </c>
    </row>
    <row r="93" spans="1:23" s="15" customFormat="1">
      <c r="A93" s="296">
        <v>89</v>
      </c>
      <c r="B93" s="314">
        <v>5459567</v>
      </c>
      <c r="C93" s="305" t="s">
        <v>890</v>
      </c>
      <c r="D93" s="299">
        <v>330</v>
      </c>
      <c r="E93" s="296" t="s">
        <v>152</v>
      </c>
      <c r="F93" s="300">
        <v>1573395.5</v>
      </c>
      <c r="G93" s="300">
        <v>385017.59999999998</v>
      </c>
      <c r="H93" s="300">
        <v>1958413.1</v>
      </c>
      <c r="I93" s="301">
        <v>313469.7</v>
      </c>
      <c r="J93" s="301">
        <v>1582544.3</v>
      </c>
      <c r="K93" s="301">
        <v>1896014</v>
      </c>
      <c r="L93" s="301">
        <v>62399.1</v>
      </c>
      <c r="M93" s="316">
        <v>0</v>
      </c>
      <c r="N93" s="298">
        <v>0</v>
      </c>
      <c r="O93" s="298">
        <v>0</v>
      </c>
      <c r="P93" s="298">
        <v>0</v>
      </c>
      <c r="Q93" s="298">
        <v>0</v>
      </c>
      <c r="R93" s="298">
        <v>0</v>
      </c>
      <c r="S93" s="298">
        <v>0</v>
      </c>
      <c r="T93" s="298">
        <v>0</v>
      </c>
      <c r="U93" s="298">
        <v>0</v>
      </c>
      <c r="V93" s="302">
        <f t="shared" si="3"/>
        <v>875.10132529275643</v>
      </c>
      <c r="W93" s="303">
        <v>71305</v>
      </c>
    </row>
    <row r="94" spans="1:23">
      <c r="A94" s="296">
        <v>90</v>
      </c>
      <c r="B94" s="297">
        <v>2075768</v>
      </c>
      <c r="C94" s="305" t="s">
        <v>867</v>
      </c>
      <c r="D94" s="299">
        <v>78</v>
      </c>
      <c r="E94" s="296" t="s">
        <v>153</v>
      </c>
      <c r="F94" s="305">
        <v>0</v>
      </c>
      <c r="G94" s="300">
        <v>155097.60000000001</v>
      </c>
      <c r="H94" s="300">
        <v>155097.60000000001</v>
      </c>
      <c r="I94" s="301">
        <v>100000</v>
      </c>
      <c r="J94" s="298">
        <v>0</v>
      </c>
      <c r="K94" s="301">
        <v>100000</v>
      </c>
      <c r="L94" s="301">
        <v>55097.599999999999</v>
      </c>
      <c r="M94" s="298">
        <v>0</v>
      </c>
      <c r="N94" s="298">
        <v>0</v>
      </c>
      <c r="O94" s="298">
        <v>0</v>
      </c>
      <c r="P94" s="298">
        <v>0</v>
      </c>
      <c r="Q94" s="298">
        <v>0</v>
      </c>
      <c r="R94" s="298">
        <v>0</v>
      </c>
      <c r="S94" s="298">
        <v>0</v>
      </c>
      <c r="T94" s="298">
        <v>0</v>
      </c>
      <c r="U94" s="298">
        <v>0</v>
      </c>
      <c r="V94" s="302">
        <f t="shared" si="3"/>
        <v>1060.4665486180613</v>
      </c>
      <c r="W94" s="303">
        <v>51956</v>
      </c>
    </row>
    <row r="95" spans="1:23">
      <c r="A95" s="296">
        <v>91</v>
      </c>
      <c r="B95" s="297">
        <v>2006251</v>
      </c>
      <c r="C95" s="305" t="s">
        <v>893</v>
      </c>
      <c r="D95" s="299">
        <v>393</v>
      </c>
      <c r="E95" s="296" t="s">
        <v>156</v>
      </c>
      <c r="F95" s="300">
        <v>23066.2</v>
      </c>
      <c r="G95" s="300">
        <v>55210.400000000001</v>
      </c>
      <c r="H95" s="300">
        <v>78276.600000000006</v>
      </c>
      <c r="I95" s="301">
        <v>52140.3</v>
      </c>
      <c r="J95" s="298">
        <v>0</v>
      </c>
      <c r="K95" s="301">
        <v>52140.3</v>
      </c>
      <c r="L95" s="301">
        <v>26136.3</v>
      </c>
      <c r="M95" s="298">
        <v>0</v>
      </c>
      <c r="N95" s="298">
        <v>0</v>
      </c>
      <c r="O95" s="298">
        <v>0</v>
      </c>
      <c r="P95" s="298">
        <v>0</v>
      </c>
      <c r="Q95" s="298">
        <v>0</v>
      </c>
      <c r="R95" s="298">
        <v>0</v>
      </c>
      <c r="S95" s="298">
        <v>0</v>
      </c>
      <c r="T95" s="298">
        <v>0</v>
      </c>
      <c r="U95" s="298">
        <v>0</v>
      </c>
      <c r="V95" s="302">
        <f t="shared" si="3"/>
        <v>60.655421932800806</v>
      </c>
      <c r="W95" s="303">
        <v>430898</v>
      </c>
    </row>
    <row r="96" spans="1:23">
      <c r="A96" s="296">
        <v>92</v>
      </c>
      <c r="B96" s="297">
        <v>2022524</v>
      </c>
      <c r="C96" s="305" t="s">
        <v>559</v>
      </c>
      <c r="D96" s="299">
        <v>408</v>
      </c>
      <c r="E96" s="296" t="s">
        <v>159</v>
      </c>
      <c r="F96" s="300">
        <v>1926.3</v>
      </c>
      <c r="G96" s="300">
        <v>5000</v>
      </c>
      <c r="H96" s="300">
        <v>6926.3</v>
      </c>
      <c r="I96" s="298">
        <v>0</v>
      </c>
      <c r="J96" s="301">
        <v>5500</v>
      </c>
      <c r="K96" s="301">
        <v>5500</v>
      </c>
      <c r="L96" s="301">
        <v>1426.3</v>
      </c>
      <c r="M96" s="298">
        <v>0</v>
      </c>
      <c r="N96" s="298">
        <v>0</v>
      </c>
      <c r="O96" s="298">
        <v>0</v>
      </c>
      <c r="P96" s="298">
        <v>0</v>
      </c>
      <c r="Q96" s="298">
        <v>0</v>
      </c>
      <c r="R96" s="298">
        <v>0</v>
      </c>
      <c r="S96" s="298">
        <v>0</v>
      </c>
      <c r="T96" s="298">
        <v>0</v>
      </c>
      <c r="U96" s="298">
        <v>0</v>
      </c>
      <c r="V96" s="302">
        <f t="shared" si="3"/>
        <v>24.363288522966023</v>
      </c>
      <c r="W96" s="303">
        <v>58543</v>
      </c>
    </row>
    <row r="97" spans="1:23">
      <c r="A97" s="296">
        <v>93</v>
      </c>
      <c r="B97" s="297">
        <v>2003422</v>
      </c>
      <c r="C97" s="305" t="s">
        <v>667</v>
      </c>
      <c r="D97" s="299">
        <v>51</v>
      </c>
      <c r="E97" s="296" t="s">
        <v>174</v>
      </c>
      <c r="F97" s="300">
        <v>21625.9</v>
      </c>
      <c r="G97" s="305">
        <v>28.7</v>
      </c>
      <c r="H97" s="300">
        <v>21654.6</v>
      </c>
      <c r="I97" s="301">
        <v>39612</v>
      </c>
      <c r="J97" s="298">
        <v>0</v>
      </c>
      <c r="K97" s="301">
        <v>39612</v>
      </c>
      <c r="L97" s="301">
        <v>-17957.400000000001</v>
      </c>
      <c r="M97" s="298">
        <v>0</v>
      </c>
      <c r="N97" s="298">
        <v>0</v>
      </c>
      <c r="O97" s="298">
        <v>0</v>
      </c>
      <c r="P97" s="298">
        <v>0</v>
      </c>
      <c r="Q97" s="298">
        <v>0</v>
      </c>
      <c r="R97" s="298">
        <v>0</v>
      </c>
      <c r="S97" s="298">
        <v>0</v>
      </c>
      <c r="T97" s="298">
        <v>0</v>
      </c>
      <c r="U97" s="298">
        <v>0</v>
      </c>
      <c r="V97" s="302">
        <f t="shared" si="3"/>
        <v>-217.88465971826201</v>
      </c>
      <c r="W97" s="303">
        <v>82417</v>
      </c>
    </row>
    <row r="98" spans="1:23">
      <c r="A98" s="296">
        <v>94</v>
      </c>
      <c r="B98" s="297">
        <v>2003929</v>
      </c>
      <c r="C98" s="305" t="s">
        <v>672</v>
      </c>
      <c r="D98" s="299">
        <v>55</v>
      </c>
      <c r="E98" s="296" t="s">
        <v>176</v>
      </c>
      <c r="F98" s="300">
        <v>13711799.199999999</v>
      </c>
      <c r="G98" s="300">
        <v>18217652.199999999</v>
      </c>
      <c r="H98" s="300">
        <v>31929451.399999999</v>
      </c>
      <c r="I98" s="301">
        <v>4710455.4000000004</v>
      </c>
      <c r="J98" s="301">
        <v>18244482.399999999</v>
      </c>
      <c r="K98" s="301">
        <v>22954937.800000001</v>
      </c>
      <c r="L98" s="301">
        <v>8974513.5999999996</v>
      </c>
      <c r="M98" s="298">
        <v>0</v>
      </c>
      <c r="N98" s="298">
        <v>0</v>
      </c>
      <c r="O98" s="298">
        <v>0</v>
      </c>
      <c r="P98" s="298">
        <v>0</v>
      </c>
      <c r="Q98" s="298">
        <v>0</v>
      </c>
      <c r="R98" s="298">
        <v>0</v>
      </c>
      <c r="S98" s="298">
        <v>0</v>
      </c>
      <c r="T98" s="298">
        <v>0</v>
      </c>
      <c r="U98" s="298">
        <v>0</v>
      </c>
      <c r="V98" s="302">
        <f t="shared" si="3"/>
        <v>20589.413600073414</v>
      </c>
      <c r="W98" s="303">
        <v>435880</v>
      </c>
    </row>
    <row r="99" spans="1:23">
      <c r="A99" s="296">
        <v>95</v>
      </c>
      <c r="B99" s="297">
        <v>2069822</v>
      </c>
      <c r="C99" s="305" t="s">
        <v>686</v>
      </c>
      <c r="D99" s="299">
        <v>196</v>
      </c>
      <c r="E99" s="296" t="s">
        <v>178</v>
      </c>
      <c r="F99" s="305">
        <v>218.8</v>
      </c>
      <c r="G99" s="300">
        <v>5431.2</v>
      </c>
      <c r="H99" s="300">
        <v>5650</v>
      </c>
      <c r="I99" s="298">
        <v>0</v>
      </c>
      <c r="J99" s="298">
        <v>0</v>
      </c>
      <c r="K99" s="298">
        <v>0</v>
      </c>
      <c r="L99" s="301">
        <v>5650</v>
      </c>
      <c r="M99" s="298">
        <v>0</v>
      </c>
      <c r="N99" s="298">
        <v>0</v>
      </c>
      <c r="O99" s="298">
        <v>0</v>
      </c>
      <c r="P99" s="298">
        <v>0</v>
      </c>
      <c r="Q99" s="298">
        <v>0</v>
      </c>
      <c r="R99" s="298">
        <v>0</v>
      </c>
      <c r="S99" s="298">
        <v>0</v>
      </c>
      <c r="T99" s="298">
        <v>0</v>
      </c>
      <c r="U99" s="298">
        <v>0</v>
      </c>
      <c r="V99" s="302">
        <f t="shared" si="3"/>
        <v>99.122807017543863</v>
      </c>
      <c r="W99" s="303">
        <v>57000</v>
      </c>
    </row>
    <row r="100" spans="1:23">
      <c r="A100" s="296">
        <v>96</v>
      </c>
      <c r="B100" s="297">
        <v>2643928</v>
      </c>
      <c r="C100" s="305" t="s">
        <v>682</v>
      </c>
      <c r="D100" s="299">
        <v>289</v>
      </c>
      <c r="E100" s="296" t="s">
        <v>179</v>
      </c>
      <c r="F100" s="300">
        <v>32776</v>
      </c>
      <c r="G100" s="300">
        <v>11332.5</v>
      </c>
      <c r="H100" s="300">
        <v>44108.5</v>
      </c>
      <c r="I100" s="301">
        <v>42664.7</v>
      </c>
      <c r="J100" s="298">
        <v>0</v>
      </c>
      <c r="K100" s="301">
        <v>42664.7</v>
      </c>
      <c r="L100" s="301">
        <v>1443.8</v>
      </c>
      <c r="M100" s="298">
        <v>0</v>
      </c>
      <c r="N100" s="298">
        <v>0</v>
      </c>
      <c r="O100" s="298">
        <v>0</v>
      </c>
      <c r="P100" s="298">
        <v>0</v>
      </c>
      <c r="Q100" s="298">
        <v>0</v>
      </c>
      <c r="R100" s="298">
        <v>0</v>
      </c>
      <c r="S100" s="298">
        <v>0</v>
      </c>
      <c r="T100" s="298">
        <v>0</v>
      </c>
      <c r="U100" s="298">
        <v>0</v>
      </c>
      <c r="V100" s="302">
        <f t="shared" si="3"/>
        <v>23.733828678513305</v>
      </c>
      <c r="W100" s="303">
        <v>60833</v>
      </c>
    </row>
    <row r="101" spans="1:23" s="15" customFormat="1">
      <c r="A101" s="296">
        <v>97</v>
      </c>
      <c r="B101" s="314">
        <v>2052482</v>
      </c>
      <c r="C101" s="305" t="s">
        <v>697</v>
      </c>
      <c r="D101" s="299">
        <v>331</v>
      </c>
      <c r="E101" s="296" t="s">
        <v>180</v>
      </c>
      <c r="F101" s="300">
        <v>62210.9</v>
      </c>
      <c r="G101" s="300">
        <v>453074.9</v>
      </c>
      <c r="H101" s="300">
        <v>515285.8</v>
      </c>
      <c r="I101" s="301">
        <v>132191</v>
      </c>
      <c r="J101" s="298">
        <v>0</v>
      </c>
      <c r="K101" s="301">
        <v>132191</v>
      </c>
      <c r="L101" s="301">
        <v>383094.8</v>
      </c>
      <c r="M101" s="301">
        <v>30090</v>
      </c>
      <c r="N101" s="298">
        <v>0</v>
      </c>
      <c r="O101" s="301">
        <v>30090</v>
      </c>
      <c r="P101" s="298">
        <v>0</v>
      </c>
      <c r="Q101" s="298">
        <v>30090</v>
      </c>
      <c r="R101" s="298">
        <v>0</v>
      </c>
      <c r="S101" s="298">
        <v>0</v>
      </c>
      <c r="T101" s="298">
        <v>0</v>
      </c>
      <c r="U101" s="298">
        <v>0</v>
      </c>
      <c r="V101" s="302">
        <f t="shared" si="3"/>
        <v>1581.8532419966884</v>
      </c>
      <c r="W101" s="303">
        <v>242181</v>
      </c>
    </row>
    <row r="102" spans="1:23">
      <c r="A102" s="296">
        <v>98</v>
      </c>
      <c r="B102" s="297">
        <v>2057816</v>
      </c>
      <c r="C102" s="305" t="s">
        <v>764</v>
      </c>
      <c r="D102" s="299">
        <v>41</v>
      </c>
      <c r="E102" s="296" t="s">
        <v>187</v>
      </c>
      <c r="F102" s="300">
        <v>174133.4</v>
      </c>
      <c r="G102" s="300">
        <v>472991.6</v>
      </c>
      <c r="H102" s="300">
        <v>647125</v>
      </c>
      <c r="I102" s="301">
        <v>7293</v>
      </c>
      <c r="J102" s="298">
        <v>0</v>
      </c>
      <c r="K102" s="301">
        <v>7293</v>
      </c>
      <c r="L102" s="301">
        <v>639832</v>
      </c>
      <c r="M102" s="298">
        <v>0</v>
      </c>
      <c r="N102" s="298">
        <v>0</v>
      </c>
      <c r="O102" s="298">
        <v>0</v>
      </c>
      <c r="P102" s="298">
        <v>0</v>
      </c>
      <c r="Q102" s="298">
        <v>0</v>
      </c>
      <c r="R102" s="298">
        <v>0</v>
      </c>
      <c r="S102" s="298">
        <v>0</v>
      </c>
      <c r="T102" s="298">
        <v>0</v>
      </c>
      <c r="U102" s="298">
        <v>0</v>
      </c>
      <c r="V102" s="302">
        <f t="shared" si="3"/>
        <v>5212.3108004627147</v>
      </c>
      <c r="W102" s="303">
        <v>122754</v>
      </c>
    </row>
    <row r="103" spans="1:23">
      <c r="A103" s="296">
        <v>99</v>
      </c>
      <c r="B103" s="297">
        <v>2038285</v>
      </c>
      <c r="C103" s="305" t="s">
        <v>903</v>
      </c>
      <c r="D103" s="299">
        <v>407</v>
      </c>
      <c r="E103" s="296" t="s">
        <v>190</v>
      </c>
      <c r="F103" s="300">
        <v>1542</v>
      </c>
      <c r="G103" s="300">
        <v>11081.3</v>
      </c>
      <c r="H103" s="300">
        <v>12623.3</v>
      </c>
      <c r="I103" s="301">
        <v>13901.8</v>
      </c>
      <c r="J103" s="298">
        <v>0</v>
      </c>
      <c r="K103" s="301">
        <v>13901.8</v>
      </c>
      <c r="L103" s="301">
        <v>-1278.5</v>
      </c>
      <c r="M103" s="298">
        <v>0</v>
      </c>
      <c r="N103" s="298">
        <v>0</v>
      </c>
      <c r="O103" s="298">
        <v>0</v>
      </c>
      <c r="P103" s="298">
        <v>0</v>
      </c>
      <c r="Q103" s="298">
        <v>0</v>
      </c>
      <c r="R103" s="298">
        <v>0</v>
      </c>
      <c r="S103" s="298">
        <v>0</v>
      </c>
      <c r="T103" s="298">
        <v>0</v>
      </c>
      <c r="U103" s="298">
        <v>0</v>
      </c>
      <c r="V103" s="302">
        <f t="shared" si="3"/>
        <v>-11.537454991742846</v>
      </c>
      <c r="W103" s="303">
        <v>110813</v>
      </c>
    </row>
    <row r="104" spans="1:23">
      <c r="A104" s="296">
        <v>100</v>
      </c>
      <c r="B104" s="297">
        <v>2008904</v>
      </c>
      <c r="C104" s="305" t="s">
        <v>810</v>
      </c>
      <c r="D104" s="299">
        <v>448</v>
      </c>
      <c r="E104" s="296" t="s">
        <v>197</v>
      </c>
      <c r="F104" s="300">
        <v>27294.799999999999</v>
      </c>
      <c r="G104" s="300">
        <v>348774</v>
      </c>
      <c r="H104" s="300">
        <v>376068.8</v>
      </c>
      <c r="I104" s="301">
        <v>261756.79999999999</v>
      </c>
      <c r="J104" s="298">
        <v>0</v>
      </c>
      <c r="K104" s="301">
        <v>261756.79999999999</v>
      </c>
      <c r="L104" s="301">
        <v>114312</v>
      </c>
      <c r="M104" s="298">
        <v>0</v>
      </c>
      <c r="N104" s="298">
        <v>0</v>
      </c>
      <c r="O104" s="298">
        <v>0</v>
      </c>
      <c r="P104" s="298">
        <v>0</v>
      </c>
      <c r="Q104" s="298">
        <v>0</v>
      </c>
      <c r="R104" s="298">
        <v>0</v>
      </c>
      <c r="S104" s="298">
        <v>0</v>
      </c>
      <c r="T104" s="298">
        <v>0</v>
      </c>
      <c r="U104" s="298">
        <v>0</v>
      </c>
      <c r="V104" s="302">
        <f t="shared" si="3"/>
        <v>160.21325888333411</v>
      </c>
      <c r="W104" s="303">
        <v>713499</v>
      </c>
    </row>
    <row r="105" spans="1:23">
      <c r="A105" s="296">
        <v>101</v>
      </c>
      <c r="B105" s="297">
        <v>2688514</v>
      </c>
      <c r="C105" s="305" t="s">
        <v>448</v>
      </c>
      <c r="D105" s="299">
        <v>69</v>
      </c>
      <c r="E105" s="296" t="s">
        <v>124</v>
      </c>
      <c r="F105" s="300">
        <v>969030</v>
      </c>
      <c r="G105" s="300">
        <v>2373806.2000000002</v>
      </c>
      <c r="H105" s="300">
        <v>3342836.2</v>
      </c>
      <c r="I105" s="301">
        <v>1765568.1</v>
      </c>
      <c r="J105" s="298">
        <v>0</v>
      </c>
      <c r="K105" s="301">
        <v>1765568.1</v>
      </c>
      <c r="L105" s="301">
        <v>1577268.1</v>
      </c>
      <c r="M105" s="298">
        <v>0</v>
      </c>
      <c r="N105" s="298">
        <v>0</v>
      </c>
      <c r="O105" s="298">
        <v>0</v>
      </c>
      <c r="P105" s="298">
        <v>7920</v>
      </c>
      <c r="Q105" s="298">
        <v>7952.7</v>
      </c>
      <c r="R105" s="298">
        <v>0</v>
      </c>
      <c r="S105" s="298">
        <v>0</v>
      </c>
      <c r="T105" s="298">
        <v>0</v>
      </c>
      <c r="U105" s="298">
        <v>-32.700000000000003</v>
      </c>
      <c r="V105" s="302">
        <f t="shared" si="3"/>
        <v>3449.1411414563531</v>
      </c>
      <c r="W105" s="303">
        <v>457293</v>
      </c>
    </row>
    <row r="106" spans="1:23">
      <c r="A106" s="296">
        <v>102</v>
      </c>
      <c r="B106" s="297">
        <v>2050161</v>
      </c>
      <c r="C106" s="305" t="s">
        <v>395</v>
      </c>
      <c r="D106" s="299">
        <v>200</v>
      </c>
      <c r="E106" s="296" t="s">
        <v>39</v>
      </c>
      <c r="F106" s="300">
        <v>62487.1</v>
      </c>
      <c r="G106" s="300">
        <v>24189.3</v>
      </c>
      <c r="H106" s="300">
        <v>86676.4</v>
      </c>
      <c r="I106" s="298">
        <v>952.8</v>
      </c>
      <c r="J106" s="298">
        <v>0</v>
      </c>
      <c r="K106" s="298">
        <v>952.8</v>
      </c>
      <c r="L106" s="301">
        <v>85723.6</v>
      </c>
      <c r="M106" s="301">
        <v>2000</v>
      </c>
      <c r="N106" s="301">
        <v>1153.5999999999999</v>
      </c>
      <c r="O106" s="298">
        <v>846.4</v>
      </c>
      <c r="P106" s="298">
        <v>0</v>
      </c>
      <c r="Q106" s="298">
        <v>882.7</v>
      </c>
      <c r="R106" s="298">
        <v>0</v>
      </c>
      <c r="S106" s="298">
        <v>0</v>
      </c>
      <c r="T106" s="298">
        <v>0</v>
      </c>
      <c r="U106" s="298">
        <v>-36.299999999999997</v>
      </c>
      <c r="V106" s="302">
        <f t="shared" si="3"/>
        <v>1156.4423219609589</v>
      </c>
      <c r="W106" s="303">
        <v>74127</v>
      </c>
    </row>
    <row r="107" spans="1:23">
      <c r="A107" s="296">
        <v>103</v>
      </c>
      <c r="B107" s="297">
        <v>2050102</v>
      </c>
      <c r="C107" s="305" t="s">
        <v>501</v>
      </c>
      <c r="D107" s="299">
        <v>96</v>
      </c>
      <c r="E107" s="296" t="s">
        <v>147</v>
      </c>
      <c r="F107" s="300">
        <v>160129</v>
      </c>
      <c r="G107" s="300">
        <v>42469.8</v>
      </c>
      <c r="H107" s="300">
        <v>202598.8</v>
      </c>
      <c r="I107" s="301">
        <v>38934.199999999997</v>
      </c>
      <c r="J107" s="301">
        <v>8000</v>
      </c>
      <c r="K107" s="301">
        <v>46934.2</v>
      </c>
      <c r="L107" s="301">
        <v>155664.6</v>
      </c>
      <c r="M107" s="298">
        <v>0</v>
      </c>
      <c r="N107" s="298">
        <v>0</v>
      </c>
      <c r="O107" s="298">
        <v>0</v>
      </c>
      <c r="P107" s="298">
        <v>0</v>
      </c>
      <c r="Q107" s="298">
        <v>54.5</v>
      </c>
      <c r="R107" s="298">
        <v>0</v>
      </c>
      <c r="S107" s="298">
        <v>0</v>
      </c>
      <c r="T107" s="298">
        <v>0</v>
      </c>
      <c r="U107" s="298">
        <v>-54.5</v>
      </c>
      <c r="V107" s="302">
        <f t="shared" ref="V107:V138" si="4">(L107/W107)*1000</f>
        <v>1349.5565477480602</v>
      </c>
      <c r="W107" s="303">
        <v>115345</v>
      </c>
    </row>
    <row r="108" spans="1:23">
      <c r="A108" s="296">
        <v>104</v>
      </c>
      <c r="B108" s="297">
        <v>2650061</v>
      </c>
      <c r="C108" s="305" t="s">
        <v>743</v>
      </c>
      <c r="D108" s="299">
        <v>385</v>
      </c>
      <c r="E108" s="296" t="s">
        <v>185</v>
      </c>
      <c r="F108" s="300">
        <v>3240.1</v>
      </c>
      <c r="G108" s="300">
        <v>1328964.3</v>
      </c>
      <c r="H108" s="300">
        <v>1332204.3999999999</v>
      </c>
      <c r="I108" s="301">
        <v>3713.4</v>
      </c>
      <c r="J108" s="301">
        <v>26221.7</v>
      </c>
      <c r="K108" s="301">
        <v>29935.1</v>
      </c>
      <c r="L108" s="301">
        <v>1302269.3</v>
      </c>
      <c r="M108" s="301">
        <v>10000</v>
      </c>
      <c r="N108" s="301">
        <v>1670</v>
      </c>
      <c r="O108" s="301">
        <v>8330</v>
      </c>
      <c r="P108" s="298">
        <v>0</v>
      </c>
      <c r="Q108" s="298">
        <v>8845.4</v>
      </c>
      <c r="R108" s="298">
        <v>0</v>
      </c>
      <c r="S108" s="298">
        <v>0</v>
      </c>
      <c r="T108" s="298">
        <v>0</v>
      </c>
      <c r="U108" s="298">
        <v>-515.4</v>
      </c>
      <c r="V108" s="302">
        <f t="shared" si="4"/>
        <v>94.808737082614783</v>
      </c>
      <c r="W108" s="303">
        <v>13735752</v>
      </c>
    </row>
    <row r="109" spans="1:23">
      <c r="A109" s="296">
        <v>105</v>
      </c>
      <c r="B109" s="297">
        <v>2051303</v>
      </c>
      <c r="C109" s="305" t="s">
        <v>619</v>
      </c>
      <c r="D109" s="299">
        <v>290</v>
      </c>
      <c r="E109" s="296" t="s">
        <v>49</v>
      </c>
      <c r="F109" s="300">
        <v>2433014.4</v>
      </c>
      <c r="G109" s="300">
        <v>11609.8</v>
      </c>
      <c r="H109" s="300">
        <v>2444624.2000000002</v>
      </c>
      <c r="I109" s="301">
        <v>74047.899999999994</v>
      </c>
      <c r="J109" s="298">
        <v>0</v>
      </c>
      <c r="K109" s="301">
        <v>74047.899999999994</v>
      </c>
      <c r="L109" s="301">
        <v>2370576.2999999998</v>
      </c>
      <c r="M109" s="298">
        <v>0</v>
      </c>
      <c r="N109" s="298">
        <v>0</v>
      </c>
      <c r="O109" s="298">
        <v>0</v>
      </c>
      <c r="P109" s="298">
        <v>0</v>
      </c>
      <c r="Q109" s="298">
        <v>545.4</v>
      </c>
      <c r="R109" s="298">
        <v>0</v>
      </c>
      <c r="S109" s="298">
        <v>0</v>
      </c>
      <c r="T109" s="298">
        <v>0</v>
      </c>
      <c r="U109" s="298">
        <v>-545.4</v>
      </c>
      <c r="V109" s="302">
        <f t="shared" si="4"/>
        <v>17325.481268180025</v>
      </c>
      <c r="W109" s="303">
        <v>136826</v>
      </c>
    </row>
    <row r="110" spans="1:23">
      <c r="A110" s="296">
        <v>106</v>
      </c>
      <c r="B110" s="297">
        <v>2688565</v>
      </c>
      <c r="C110" s="305" t="s">
        <v>619</v>
      </c>
      <c r="D110" s="299">
        <v>290</v>
      </c>
      <c r="E110" s="296" t="s">
        <v>49</v>
      </c>
      <c r="F110" s="300">
        <v>2433014.4</v>
      </c>
      <c r="G110" s="300">
        <v>11609.8</v>
      </c>
      <c r="H110" s="300">
        <v>2444624.2000000002</v>
      </c>
      <c r="I110" s="301">
        <v>74047.899999999994</v>
      </c>
      <c r="J110" s="298">
        <v>0</v>
      </c>
      <c r="K110" s="301">
        <v>74047.899999999994</v>
      </c>
      <c r="L110" s="301">
        <v>2370576.2999999998</v>
      </c>
      <c r="M110" s="298">
        <v>0</v>
      </c>
      <c r="N110" s="298">
        <v>0</v>
      </c>
      <c r="O110" s="298">
        <v>0</v>
      </c>
      <c r="P110" s="298">
        <v>0</v>
      </c>
      <c r="Q110" s="298">
        <v>545.4</v>
      </c>
      <c r="R110" s="298">
        <v>0</v>
      </c>
      <c r="S110" s="298">
        <v>0</v>
      </c>
      <c r="T110" s="298">
        <v>0</v>
      </c>
      <c r="U110" s="298">
        <v>-545.4</v>
      </c>
      <c r="V110" s="302">
        <f t="shared" si="4"/>
        <v>17325.481268180025</v>
      </c>
      <c r="W110" s="303">
        <v>136826</v>
      </c>
    </row>
    <row r="111" spans="1:23">
      <c r="A111" s="296">
        <v>107</v>
      </c>
      <c r="B111" s="297">
        <v>2736012</v>
      </c>
      <c r="C111" s="305" t="s">
        <v>706</v>
      </c>
      <c r="D111" s="299">
        <v>389</v>
      </c>
      <c r="E111" s="296" t="s">
        <v>196</v>
      </c>
      <c r="F111" s="300">
        <v>34384.800000000003</v>
      </c>
      <c r="G111" s="305">
        <v>0</v>
      </c>
      <c r="H111" s="300">
        <v>34384.800000000003</v>
      </c>
      <c r="I111" s="298">
        <v>670</v>
      </c>
      <c r="J111" s="298">
        <v>0</v>
      </c>
      <c r="K111" s="298">
        <v>670</v>
      </c>
      <c r="L111" s="301">
        <v>33714.800000000003</v>
      </c>
      <c r="M111" s="298">
        <v>0</v>
      </c>
      <c r="N111" s="298">
        <v>0</v>
      </c>
      <c r="O111" s="298">
        <v>0</v>
      </c>
      <c r="P111" s="298">
        <v>0</v>
      </c>
      <c r="Q111" s="298">
        <v>670</v>
      </c>
      <c r="R111" s="298">
        <v>0</v>
      </c>
      <c r="S111" s="298">
        <v>0</v>
      </c>
      <c r="T111" s="298">
        <v>0</v>
      </c>
      <c r="U111" s="298">
        <v>-670</v>
      </c>
      <c r="V111" s="302">
        <f t="shared" si="4"/>
        <v>301.35056623673796</v>
      </c>
      <c r="W111" s="303">
        <v>111879</v>
      </c>
    </row>
    <row r="112" spans="1:23">
      <c r="A112" s="296">
        <v>108</v>
      </c>
      <c r="B112" s="297">
        <v>2012421</v>
      </c>
      <c r="C112" s="305" t="s">
        <v>641</v>
      </c>
      <c r="D112" s="299">
        <v>471</v>
      </c>
      <c r="E112" s="296" t="s">
        <v>74</v>
      </c>
      <c r="F112" s="300">
        <v>98274.3</v>
      </c>
      <c r="G112" s="300">
        <v>19785</v>
      </c>
      <c r="H112" s="300">
        <v>118059.3</v>
      </c>
      <c r="I112" s="301">
        <v>109390.1</v>
      </c>
      <c r="J112" s="298">
        <v>0</v>
      </c>
      <c r="K112" s="301">
        <v>109390.1</v>
      </c>
      <c r="L112" s="301">
        <v>8669.2000000000007</v>
      </c>
      <c r="M112" s="298">
        <v>0</v>
      </c>
      <c r="N112" s="298">
        <v>0</v>
      </c>
      <c r="O112" s="298">
        <v>0</v>
      </c>
      <c r="P112" s="298">
        <v>0</v>
      </c>
      <c r="Q112" s="298">
        <v>700</v>
      </c>
      <c r="R112" s="298">
        <v>0</v>
      </c>
      <c r="S112" s="298">
        <v>0</v>
      </c>
      <c r="T112" s="298">
        <v>0</v>
      </c>
      <c r="U112" s="298">
        <v>-700</v>
      </c>
      <c r="V112" s="302">
        <f t="shared" si="4"/>
        <v>70.615067567017206</v>
      </c>
      <c r="W112" s="303">
        <v>122767</v>
      </c>
    </row>
    <row r="113" spans="1:23">
      <c r="A113" s="296">
        <v>109</v>
      </c>
      <c r="B113" s="297">
        <v>2050153</v>
      </c>
      <c r="C113" s="305" t="s">
        <v>490</v>
      </c>
      <c r="D113" s="299">
        <v>148</v>
      </c>
      <c r="E113" s="296" t="s">
        <v>31</v>
      </c>
      <c r="F113" s="300">
        <v>160267.1</v>
      </c>
      <c r="G113" s="305">
        <v>0</v>
      </c>
      <c r="H113" s="300">
        <v>160267.1</v>
      </c>
      <c r="I113" s="301">
        <v>4466</v>
      </c>
      <c r="J113" s="301">
        <v>123800</v>
      </c>
      <c r="K113" s="301">
        <v>128266</v>
      </c>
      <c r="L113" s="301">
        <v>32001.1</v>
      </c>
      <c r="M113" s="301">
        <v>16997.400000000001</v>
      </c>
      <c r="N113" s="301">
        <v>16142.1</v>
      </c>
      <c r="O113" s="298">
        <v>855.3</v>
      </c>
      <c r="P113" s="298">
        <v>0</v>
      </c>
      <c r="Q113" s="298">
        <v>1693.4</v>
      </c>
      <c r="R113" s="298">
        <v>0.1</v>
      </c>
      <c r="S113" s="298">
        <v>0</v>
      </c>
      <c r="T113" s="298">
        <v>0</v>
      </c>
      <c r="U113" s="298">
        <v>-838</v>
      </c>
      <c r="V113" s="302">
        <f t="shared" si="4"/>
        <v>85.560320626280003</v>
      </c>
      <c r="W113" s="303">
        <v>374018</v>
      </c>
    </row>
    <row r="114" spans="1:23">
      <c r="A114" s="296">
        <v>110</v>
      </c>
      <c r="B114" s="297">
        <v>2011271</v>
      </c>
      <c r="C114" s="305" t="s">
        <v>790</v>
      </c>
      <c r="D114" s="299">
        <v>386</v>
      </c>
      <c r="E114" s="296" t="s">
        <v>60</v>
      </c>
      <c r="F114" s="300">
        <v>635952</v>
      </c>
      <c r="G114" s="300">
        <v>1179039.3</v>
      </c>
      <c r="H114" s="300">
        <v>1814991.3</v>
      </c>
      <c r="I114" s="301">
        <v>171424.2</v>
      </c>
      <c r="J114" s="298">
        <v>0</v>
      </c>
      <c r="K114" s="301">
        <v>171424.2</v>
      </c>
      <c r="L114" s="301">
        <v>1643567.1</v>
      </c>
      <c r="M114" s="301">
        <v>213003.4</v>
      </c>
      <c r="N114" s="301">
        <v>178534.7</v>
      </c>
      <c r="O114" s="301">
        <v>34468.699999999997</v>
      </c>
      <c r="P114" s="298">
        <v>8108.3</v>
      </c>
      <c r="Q114" s="298">
        <v>43420.5</v>
      </c>
      <c r="R114" s="298">
        <v>0</v>
      </c>
      <c r="S114" s="298">
        <v>0</v>
      </c>
      <c r="T114" s="298">
        <v>0</v>
      </c>
      <c r="U114" s="298">
        <v>-843.5</v>
      </c>
      <c r="V114" s="302">
        <f t="shared" si="4"/>
        <v>378.19928344113936</v>
      </c>
      <c r="W114" s="303">
        <v>4345770</v>
      </c>
    </row>
    <row r="115" spans="1:23">
      <c r="A115" s="296">
        <v>111</v>
      </c>
      <c r="B115" s="297">
        <v>2011123</v>
      </c>
      <c r="C115" s="305" t="s">
        <v>613</v>
      </c>
      <c r="D115" s="299">
        <v>332</v>
      </c>
      <c r="E115" s="296" t="s">
        <v>164</v>
      </c>
      <c r="F115" s="300">
        <v>10230.799999999999</v>
      </c>
      <c r="G115" s="300">
        <v>626507.80000000005</v>
      </c>
      <c r="H115" s="300">
        <v>636738.6</v>
      </c>
      <c r="I115" s="301">
        <v>43237</v>
      </c>
      <c r="J115" s="301">
        <v>16000</v>
      </c>
      <c r="K115" s="301">
        <v>59237</v>
      </c>
      <c r="L115" s="301">
        <v>577501.6</v>
      </c>
      <c r="M115" s="301">
        <v>55206.6</v>
      </c>
      <c r="N115" s="298">
        <v>0</v>
      </c>
      <c r="O115" s="301">
        <v>55206.6</v>
      </c>
      <c r="P115" s="298">
        <v>0</v>
      </c>
      <c r="Q115" s="298">
        <v>56062.400000000001</v>
      </c>
      <c r="R115" s="298">
        <v>0</v>
      </c>
      <c r="S115" s="298">
        <v>0</v>
      </c>
      <c r="T115" s="298">
        <v>0</v>
      </c>
      <c r="U115" s="298">
        <v>-855.8</v>
      </c>
      <c r="V115" s="302">
        <f t="shared" si="4"/>
        <v>10987.473363774732</v>
      </c>
      <c r="W115" s="303">
        <v>52560</v>
      </c>
    </row>
    <row r="116" spans="1:23">
      <c r="A116" s="296">
        <v>112</v>
      </c>
      <c r="B116" s="297">
        <v>2664623</v>
      </c>
      <c r="C116" s="305" t="s">
        <v>627</v>
      </c>
      <c r="D116" s="299">
        <v>2</v>
      </c>
      <c r="E116" s="296" t="s">
        <v>171</v>
      </c>
      <c r="F116" s="300">
        <v>242634.3</v>
      </c>
      <c r="G116" s="300">
        <v>1338441.8</v>
      </c>
      <c r="H116" s="300">
        <v>1581076.1</v>
      </c>
      <c r="I116" s="301">
        <v>36566.199999999997</v>
      </c>
      <c r="J116" s="298">
        <v>0</v>
      </c>
      <c r="K116" s="301">
        <v>36566.199999999997</v>
      </c>
      <c r="L116" s="301">
        <v>1544509.9</v>
      </c>
      <c r="M116" s="298">
        <v>0</v>
      </c>
      <c r="N116" s="298">
        <v>0</v>
      </c>
      <c r="O116" s="298">
        <v>0</v>
      </c>
      <c r="P116" s="298">
        <v>153699.1</v>
      </c>
      <c r="Q116" s="298">
        <v>154937.60000000001</v>
      </c>
      <c r="R116" s="298">
        <v>0</v>
      </c>
      <c r="S116" s="298">
        <v>0</v>
      </c>
      <c r="T116" s="298">
        <v>37.700000000000003</v>
      </c>
      <c r="U116" s="301">
        <v>-1276.2</v>
      </c>
      <c r="V116" s="302">
        <f t="shared" si="4"/>
        <v>623.9579322946355</v>
      </c>
      <c r="W116" s="303">
        <v>2475343</v>
      </c>
    </row>
    <row r="117" spans="1:23">
      <c r="A117" s="296">
        <v>113</v>
      </c>
      <c r="B117" s="297">
        <v>2095971</v>
      </c>
      <c r="C117" s="305" t="s">
        <v>938</v>
      </c>
      <c r="D117" s="299">
        <v>377</v>
      </c>
      <c r="E117" s="296" t="s">
        <v>141</v>
      </c>
      <c r="F117" s="300">
        <v>1374268.7</v>
      </c>
      <c r="G117" s="300">
        <v>1931863.9</v>
      </c>
      <c r="H117" s="300">
        <v>3306132.6</v>
      </c>
      <c r="I117" s="301">
        <v>30619.4</v>
      </c>
      <c r="J117" s="298">
        <v>0</v>
      </c>
      <c r="K117" s="301">
        <v>30619.4</v>
      </c>
      <c r="L117" s="301">
        <v>3275513.2</v>
      </c>
      <c r="M117" s="301">
        <v>297825.2</v>
      </c>
      <c r="N117" s="298">
        <v>0</v>
      </c>
      <c r="O117" s="301">
        <v>297825.2</v>
      </c>
      <c r="P117" s="298">
        <v>0</v>
      </c>
      <c r="Q117" s="298">
        <v>299155</v>
      </c>
      <c r="R117" s="298">
        <v>0</v>
      </c>
      <c r="S117" s="298">
        <v>0</v>
      </c>
      <c r="T117" s="298">
        <v>0</v>
      </c>
      <c r="U117" s="301">
        <v>-1329.8</v>
      </c>
      <c r="V117" s="302">
        <f t="shared" si="4"/>
        <v>20989.613851615468</v>
      </c>
      <c r="W117" s="303">
        <v>156054</v>
      </c>
    </row>
    <row r="118" spans="1:23">
      <c r="A118" s="296">
        <v>114</v>
      </c>
      <c r="B118" s="297">
        <v>2051982</v>
      </c>
      <c r="C118" s="305" t="s">
        <v>2629</v>
      </c>
      <c r="D118" s="299">
        <v>118</v>
      </c>
      <c r="E118" s="296" t="s">
        <v>26</v>
      </c>
      <c r="F118" s="305">
        <v>60</v>
      </c>
      <c r="G118" s="300">
        <v>5000</v>
      </c>
      <c r="H118" s="300">
        <v>5060</v>
      </c>
      <c r="I118" s="301">
        <v>3622.3</v>
      </c>
      <c r="J118" s="298">
        <v>0</v>
      </c>
      <c r="K118" s="301">
        <v>3622.3</v>
      </c>
      <c r="L118" s="301">
        <v>1437.7</v>
      </c>
      <c r="M118" s="298">
        <v>0</v>
      </c>
      <c r="N118" s="298">
        <v>0</v>
      </c>
      <c r="O118" s="298">
        <v>0</v>
      </c>
      <c r="P118" s="298">
        <v>0</v>
      </c>
      <c r="Q118" s="298">
        <v>1420.7</v>
      </c>
      <c r="R118" s="298">
        <v>0</v>
      </c>
      <c r="S118" s="298">
        <v>0</v>
      </c>
      <c r="T118" s="298">
        <v>0</v>
      </c>
      <c r="U118" s="301">
        <v>-1420.7</v>
      </c>
      <c r="V118" s="302">
        <f t="shared" si="4"/>
        <v>14.766844700082171</v>
      </c>
      <c r="W118" s="303">
        <v>97360</v>
      </c>
    </row>
    <row r="119" spans="1:23">
      <c r="A119" s="296">
        <v>115</v>
      </c>
      <c r="B119" s="297">
        <v>2030756</v>
      </c>
      <c r="C119" s="305" t="s">
        <v>921</v>
      </c>
      <c r="D119" s="299">
        <v>425</v>
      </c>
      <c r="E119" s="296" t="s">
        <v>144</v>
      </c>
      <c r="F119" s="300">
        <v>132598.39999999999</v>
      </c>
      <c r="G119" s="300">
        <v>2883652</v>
      </c>
      <c r="H119" s="300">
        <v>3016250.4</v>
      </c>
      <c r="I119" s="301">
        <v>797708.80000000005</v>
      </c>
      <c r="J119" s="301">
        <v>4317358.2</v>
      </c>
      <c r="K119" s="301">
        <v>5115067</v>
      </c>
      <c r="L119" s="301">
        <v>-2098816.6</v>
      </c>
      <c r="M119" s="298">
        <v>0</v>
      </c>
      <c r="N119" s="298">
        <v>0</v>
      </c>
      <c r="O119" s="298">
        <v>0</v>
      </c>
      <c r="P119" s="298">
        <v>136.5</v>
      </c>
      <c r="Q119" s="298">
        <v>2132.5</v>
      </c>
      <c r="R119" s="298">
        <v>0</v>
      </c>
      <c r="S119" s="298">
        <v>0</v>
      </c>
      <c r="T119" s="298">
        <v>0</v>
      </c>
      <c r="U119" s="301">
        <v>-1996</v>
      </c>
      <c r="V119" s="302">
        <f t="shared" si="4"/>
        <v>-21047.097874047337</v>
      </c>
      <c r="W119" s="303">
        <v>99720</v>
      </c>
    </row>
    <row r="120" spans="1:23">
      <c r="A120" s="296">
        <v>116</v>
      </c>
      <c r="B120" s="297">
        <v>2007908</v>
      </c>
      <c r="C120" s="305" t="s">
        <v>851</v>
      </c>
      <c r="D120" s="299">
        <v>143</v>
      </c>
      <c r="E120" s="296" t="s">
        <v>30</v>
      </c>
      <c r="F120" s="300">
        <v>70654.899999999994</v>
      </c>
      <c r="G120" s="300">
        <v>321561.2</v>
      </c>
      <c r="H120" s="300">
        <v>392216.1</v>
      </c>
      <c r="I120" s="301">
        <v>18225.3</v>
      </c>
      <c r="J120" s="298">
        <v>0</v>
      </c>
      <c r="K120" s="301">
        <v>18225.3</v>
      </c>
      <c r="L120" s="301">
        <v>373990.8</v>
      </c>
      <c r="M120" s="301">
        <v>106393</v>
      </c>
      <c r="N120" s="298">
        <v>0</v>
      </c>
      <c r="O120" s="301">
        <v>106393</v>
      </c>
      <c r="P120" s="298">
        <v>0</v>
      </c>
      <c r="Q120" s="298">
        <v>108710.7</v>
      </c>
      <c r="R120" s="298">
        <v>0</v>
      </c>
      <c r="S120" s="298">
        <v>0</v>
      </c>
      <c r="T120" s="298">
        <v>0</v>
      </c>
      <c r="U120" s="301">
        <v>-2317.6999999999998</v>
      </c>
      <c r="V120" s="302">
        <f t="shared" si="4"/>
        <v>141.06632166175689</v>
      </c>
      <c r="W120" s="303">
        <v>2651170</v>
      </c>
    </row>
    <row r="121" spans="1:23">
      <c r="A121" s="296">
        <v>117</v>
      </c>
      <c r="B121" s="297">
        <v>2802813</v>
      </c>
      <c r="C121" s="305" t="s">
        <v>466</v>
      </c>
      <c r="D121" s="299">
        <v>234</v>
      </c>
      <c r="E121" s="296" t="s">
        <v>44</v>
      </c>
      <c r="F121" s="300">
        <v>3671043.8</v>
      </c>
      <c r="G121" s="300">
        <v>1683409.3</v>
      </c>
      <c r="H121" s="300">
        <v>5354453.0999999996</v>
      </c>
      <c r="I121" s="301">
        <v>4555960.0999999996</v>
      </c>
      <c r="J121" s="298">
        <v>0</v>
      </c>
      <c r="K121" s="301">
        <v>4555960.0999999996</v>
      </c>
      <c r="L121" s="301">
        <v>798493</v>
      </c>
      <c r="M121" s="301">
        <v>600304.30000000005</v>
      </c>
      <c r="N121" s="301">
        <v>340991.1</v>
      </c>
      <c r="O121" s="301">
        <v>259313.2</v>
      </c>
      <c r="P121" s="298">
        <v>0</v>
      </c>
      <c r="Q121" s="298">
        <v>263265.09999999998</v>
      </c>
      <c r="R121" s="298">
        <v>131.69999999999999</v>
      </c>
      <c r="S121" s="298">
        <v>0</v>
      </c>
      <c r="T121" s="298">
        <v>0</v>
      </c>
      <c r="U121" s="301">
        <v>-3820.2</v>
      </c>
      <c r="V121" s="302">
        <f t="shared" si="4"/>
        <v>3293.2435330605781</v>
      </c>
      <c r="W121" s="303">
        <v>242464</v>
      </c>
    </row>
    <row r="122" spans="1:23">
      <c r="A122" s="296">
        <v>118</v>
      </c>
      <c r="B122" s="297">
        <v>2030152</v>
      </c>
      <c r="C122" s="305" t="s">
        <v>856</v>
      </c>
      <c r="D122" s="299">
        <v>162</v>
      </c>
      <c r="E122" s="296" t="s">
        <v>34</v>
      </c>
      <c r="F122" s="305">
        <v>8.1999999999999993</v>
      </c>
      <c r="G122" s="300">
        <v>13939.2</v>
      </c>
      <c r="H122" s="300">
        <v>13947.4</v>
      </c>
      <c r="I122" s="301">
        <v>7868.2</v>
      </c>
      <c r="J122" s="298">
        <v>0</v>
      </c>
      <c r="K122" s="301">
        <v>7868.2</v>
      </c>
      <c r="L122" s="301">
        <v>6079.2</v>
      </c>
      <c r="M122" s="298">
        <v>0</v>
      </c>
      <c r="N122" s="298">
        <v>0</v>
      </c>
      <c r="O122" s="298">
        <v>0</v>
      </c>
      <c r="P122" s="298">
        <v>0</v>
      </c>
      <c r="Q122" s="298">
        <v>4759.3999999999996</v>
      </c>
      <c r="R122" s="298">
        <v>0</v>
      </c>
      <c r="S122" s="298">
        <v>0</v>
      </c>
      <c r="T122" s="298">
        <v>0</v>
      </c>
      <c r="U122" s="301">
        <v>-4759.3999999999996</v>
      </c>
      <c r="V122" s="302">
        <f t="shared" si="4"/>
        <v>44.989121264597486</v>
      </c>
      <c r="W122" s="303">
        <v>135126</v>
      </c>
    </row>
    <row r="123" spans="1:23">
      <c r="A123" s="296">
        <v>119</v>
      </c>
      <c r="B123" s="297">
        <v>2011085</v>
      </c>
      <c r="C123" s="305" t="s">
        <v>757</v>
      </c>
      <c r="D123" s="299">
        <v>414</v>
      </c>
      <c r="E123" s="296" t="s">
        <v>182</v>
      </c>
      <c r="F123" s="300">
        <v>129921.5</v>
      </c>
      <c r="G123" s="300">
        <v>16217.3</v>
      </c>
      <c r="H123" s="300">
        <v>146138.79999999999</v>
      </c>
      <c r="I123" s="301">
        <v>100616.3</v>
      </c>
      <c r="J123" s="298">
        <v>0</v>
      </c>
      <c r="K123" s="301">
        <v>100616.3</v>
      </c>
      <c r="L123" s="301">
        <v>45522.5</v>
      </c>
      <c r="M123" s="298">
        <v>0</v>
      </c>
      <c r="N123" s="298">
        <v>0</v>
      </c>
      <c r="O123" s="298">
        <v>0</v>
      </c>
      <c r="P123" s="298">
        <v>0</v>
      </c>
      <c r="Q123" s="298">
        <v>5110</v>
      </c>
      <c r="R123" s="298">
        <v>0</v>
      </c>
      <c r="S123" s="298">
        <v>0</v>
      </c>
      <c r="T123" s="298">
        <v>0</v>
      </c>
      <c r="U123" s="301">
        <v>-5110</v>
      </c>
      <c r="V123" s="302">
        <f t="shared" si="4"/>
        <v>394.91719513147279</v>
      </c>
      <c r="W123" s="303">
        <v>115271</v>
      </c>
    </row>
    <row r="124" spans="1:23">
      <c r="A124" s="296">
        <v>120</v>
      </c>
      <c r="B124" s="297">
        <v>2016311</v>
      </c>
      <c r="C124" s="305" t="s">
        <v>728</v>
      </c>
      <c r="D124" s="299">
        <v>54</v>
      </c>
      <c r="E124" s="296" t="s">
        <v>184</v>
      </c>
      <c r="F124" s="300">
        <v>492328.2</v>
      </c>
      <c r="G124" s="300">
        <v>729549.3</v>
      </c>
      <c r="H124" s="300">
        <v>1221877.5</v>
      </c>
      <c r="I124" s="301">
        <v>405437.3</v>
      </c>
      <c r="J124" s="298">
        <v>0</v>
      </c>
      <c r="K124" s="301">
        <v>405437.3</v>
      </c>
      <c r="L124" s="301">
        <v>816440.2</v>
      </c>
      <c r="M124" s="298">
        <v>0</v>
      </c>
      <c r="N124" s="298">
        <v>0</v>
      </c>
      <c r="O124" s="298">
        <v>0</v>
      </c>
      <c r="P124" s="298">
        <v>0</v>
      </c>
      <c r="Q124" s="298">
        <v>5327.9</v>
      </c>
      <c r="R124" s="298">
        <v>0</v>
      </c>
      <c r="S124" s="298">
        <v>0</v>
      </c>
      <c r="T124" s="298">
        <v>0</v>
      </c>
      <c r="U124" s="301">
        <v>-5327.9</v>
      </c>
      <c r="V124" s="302">
        <f t="shared" si="4"/>
        <v>423.22929199672586</v>
      </c>
      <c r="W124" s="303">
        <v>1929073</v>
      </c>
    </row>
    <row r="125" spans="1:23">
      <c r="A125" s="296">
        <v>121</v>
      </c>
      <c r="B125" s="297">
        <v>2007584</v>
      </c>
      <c r="C125" s="305" t="s">
        <v>675</v>
      </c>
      <c r="D125" s="299">
        <v>201</v>
      </c>
      <c r="E125" s="296" t="s">
        <v>177</v>
      </c>
      <c r="F125" s="300">
        <v>46681</v>
      </c>
      <c r="G125" s="300">
        <v>8950.4</v>
      </c>
      <c r="H125" s="300">
        <v>55631.4</v>
      </c>
      <c r="I125" s="301">
        <v>172609</v>
      </c>
      <c r="J125" s="298">
        <v>0</v>
      </c>
      <c r="K125" s="301">
        <v>172609</v>
      </c>
      <c r="L125" s="301">
        <v>-116977.60000000001</v>
      </c>
      <c r="M125" s="298">
        <v>0</v>
      </c>
      <c r="N125" s="298">
        <v>0</v>
      </c>
      <c r="O125" s="298">
        <v>0</v>
      </c>
      <c r="P125" s="298">
        <v>0</v>
      </c>
      <c r="Q125" s="298">
        <v>8084.6</v>
      </c>
      <c r="R125" s="298">
        <v>0</v>
      </c>
      <c r="S125" s="298">
        <v>0</v>
      </c>
      <c r="T125" s="298">
        <v>0</v>
      </c>
      <c r="U125" s="301">
        <v>-8084.6</v>
      </c>
      <c r="V125" s="302">
        <f t="shared" si="4"/>
        <v>-22.471492239127095</v>
      </c>
      <c r="W125" s="303">
        <v>5205600</v>
      </c>
    </row>
    <row r="126" spans="1:23">
      <c r="A126" s="296">
        <v>122</v>
      </c>
      <c r="B126" s="297">
        <v>2002027</v>
      </c>
      <c r="C126" s="305" t="s">
        <v>431</v>
      </c>
      <c r="D126" s="299">
        <v>176</v>
      </c>
      <c r="E126" s="296" t="s">
        <v>123</v>
      </c>
      <c r="F126" s="305">
        <v>636.70000000000005</v>
      </c>
      <c r="G126" s="300">
        <v>16048.5</v>
      </c>
      <c r="H126" s="300">
        <v>16685.2</v>
      </c>
      <c r="I126" s="301">
        <v>26681.3</v>
      </c>
      <c r="J126" s="301">
        <v>214206.8</v>
      </c>
      <c r="K126" s="301">
        <v>240888.1</v>
      </c>
      <c r="L126" s="301">
        <v>-224202.9</v>
      </c>
      <c r="M126" s="301">
        <v>24584.400000000001</v>
      </c>
      <c r="N126" s="301">
        <v>13807.9</v>
      </c>
      <c r="O126" s="301">
        <v>10776.5</v>
      </c>
      <c r="P126" s="298">
        <v>0</v>
      </c>
      <c r="Q126" s="298">
        <v>19750.099999999999</v>
      </c>
      <c r="R126" s="298">
        <v>0</v>
      </c>
      <c r="S126" s="298">
        <v>0</v>
      </c>
      <c r="T126" s="298">
        <v>0</v>
      </c>
      <c r="U126" s="301">
        <v>-8973.6</v>
      </c>
      <c r="V126" s="302">
        <f t="shared" si="4"/>
        <v>-118.46666384858443</v>
      </c>
      <c r="W126" s="303">
        <v>1892540</v>
      </c>
    </row>
    <row r="127" spans="1:23">
      <c r="A127" s="296">
        <v>123</v>
      </c>
      <c r="B127" s="297">
        <v>2075423</v>
      </c>
      <c r="C127" s="305" t="s">
        <v>276</v>
      </c>
      <c r="D127" s="299">
        <v>500</v>
      </c>
      <c r="E127" s="296" t="s">
        <v>175</v>
      </c>
      <c r="F127" s="300">
        <v>888096.7</v>
      </c>
      <c r="G127" s="300">
        <v>9457722.4000000004</v>
      </c>
      <c r="H127" s="300">
        <v>10345819.1</v>
      </c>
      <c r="I127" s="301">
        <v>1199556.7</v>
      </c>
      <c r="J127" s="298">
        <v>0</v>
      </c>
      <c r="K127" s="301">
        <v>1199556.7</v>
      </c>
      <c r="L127" s="301">
        <v>9146262.4000000004</v>
      </c>
      <c r="M127" s="301">
        <v>2141587.7999999998</v>
      </c>
      <c r="N127" s="301">
        <v>2668393.9</v>
      </c>
      <c r="O127" s="301">
        <v>-526806.1</v>
      </c>
      <c r="P127" s="298">
        <v>47398</v>
      </c>
      <c r="Q127" s="298">
        <v>78581.7</v>
      </c>
      <c r="R127" s="298">
        <v>0</v>
      </c>
      <c r="S127" s="301">
        <v>545454.5</v>
      </c>
      <c r="T127" s="298">
        <v>0</v>
      </c>
      <c r="U127" s="301">
        <v>-12535.3</v>
      </c>
      <c r="V127" s="302">
        <f t="shared" si="4"/>
        <v>598.10825082551423</v>
      </c>
      <c r="W127" s="303">
        <v>15291985</v>
      </c>
    </row>
    <row r="128" spans="1:23">
      <c r="A128" s="296">
        <v>124</v>
      </c>
      <c r="B128" s="297">
        <v>2615134</v>
      </c>
      <c r="C128" s="305" t="s">
        <v>797</v>
      </c>
      <c r="D128" s="299">
        <v>217</v>
      </c>
      <c r="E128" s="296" t="s">
        <v>189</v>
      </c>
      <c r="F128" s="300">
        <v>517231.1</v>
      </c>
      <c r="G128" s="300">
        <v>3098331.3</v>
      </c>
      <c r="H128" s="300">
        <v>3615562.4</v>
      </c>
      <c r="I128" s="301">
        <v>391349.4</v>
      </c>
      <c r="J128" s="298">
        <v>0</v>
      </c>
      <c r="K128" s="301">
        <v>391349.4</v>
      </c>
      <c r="L128" s="301">
        <v>3224213</v>
      </c>
      <c r="M128" s="301">
        <v>1576408.3</v>
      </c>
      <c r="N128" s="301">
        <v>1411913.4</v>
      </c>
      <c r="O128" s="301">
        <v>164494.9</v>
      </c>
      <c r="P128" s="298">
        <v>136.30000000000001</v>
      </c>
      <c r="Q128" s="298">
        <v>177389.1</v>
      </c>
      <c r="R128" s="298">
        <v>0</v>
      </c>
      <c r="S128" s="298">
        <v>0</v>
      </c>
      <c r="T128" s="301">
        <v>2444.5</v>
      </c>
      <c r="U128" s="301">
        <v>-15202.4</v>
      </c>
      <c r="V128" s="302">
        <f t="shared" si="4"/>
        <v>19738.186337228879</v>
      </c>
      <c r="W128" s="303">
        <v>163349</v>
      </c>
    </row>
    <row r="129" spans="1:23">
      <c r="A129" s="296">
        <v>125</v>
      </c>
      <c r="B129" s="297">
        <v>2091291</v>
      </c>
      <c r="C129" s="305" t="s">
        <v>633</v>
      </c>
      <c r="D129" s="299">
        <v>25</v>
      </c>
      <c r="E129" s="296" t="s">
        <v>47</v>
      </c>
      <c r="F129" s="300">
        <v>4590002.5999999996</v>
      </c>
      <c r="G129" s="300">
        <v>1037226.7</v>
      </c>
      <c r="H129" s="300">
        <v>5627229.2999999998</v>
      </c>
      <c r="I129" s="301">
        <v>3706354.5</v>
      </c>
      <c r="J129" s="298">
        <v>0</v>
      </c>
      <c r="K129" s="301">
        <v>3706354.5</v>
      </c>
      <c r="L129" s="301">
        <v>1920874.8</v>
      </c>
      <c r="M129" s="301">
        <v>2208091.5</v>
      </c>
      <c r="N129" s="301">
        <v>1763805.5</v>
      </c>
      <c r="O129" s="301">
        <v>444286</v>
      </c>
      <c r="P129" s="298">
        <v>4799.7</v>
      </c>
      <c r="Q129" s="298">
        <v>464937.1</v>
      </c>
      <c r="R129" s="298">
        <v>139.9</v>
      </c>
      <c r="S129" s="298">
        <v>0</v>
      </c>
      <c r="T129" s="298">
        <v>0</v>
      </c>
      <c r="U129" s="301">
        <v>-15711.5</v>
      </c>
      <c r="V129" s="302">
        <f t="shared" si="4"/>
        <v>121.04395971752383</v>
      </c>
      <c r="W129" s="303">
        <v>15869233</v>
      </c>
    </row>
    <row r="130" spans="1:23">
      <c r="A130" s="296">
        <v>126</v>
      </c>
      <c r="B130" s="297">
        <v>2001454</v>
      </c>
      <c r="C130" s="305" t="s">
        <v>656</v>
      </c>
      <c r="D130" s="304">
        <v>503</v>
      </c>
      <c r="E130" s="321" t="s">
        <v>79</v>
      </c>
      <c r="F130" s="300">
        <v>148224.4</v>
      </c>
      <c r="G130" s="300">
        <v>12436.1</v>
      </c>
      <c r="H130" s="300">
        <v>160660.5</v>
      </c>
      <c r="I130" s="300">
        <v>91841.8</v>
      </c>
      <c r="J130" s="305">
        <v>0</v>
      </c>
      <c r="K130" s="300">
        <v>91841.8</v>
      </c>
      <c r="L130" s="300">
        <v>68818.7</v>
      </c>
      <c r="M130" s="300">
        <v>1200</v>
      </c>
      <c r="N130" s="300"/>
      <c r="O130" s="305">
        <v>0</v>
      </c>
      <c r="P130" s="305">
        <v>93.6</v>
      </c>
      <c r="Q130" s="300">
        <v>18149.099999999999</v>
      </c>
      <c r="R130" s="305"/>
      <c r="S130" s="305">
        <v>0</v>
      </c>
      <c r="T130" s="305">
        <v>0</v>
      </c>
      <c r="U130" s="300">
        <v>-16855.5</v>
      </c>
      <c r="V130" s="308">
        <f t="shared" si="4"/>
        <v>2.2939566666666664</v>
      </c>
      <c r="W130" s="303">
        <v>30000000</v>
      </c>
    </row>
    <row r="131" spans="1:23">
      <c r="A131" s="296">
        <v>127</v>
      </c>
      <c r="B131" s="297">
        <v>2050366</v>
      </c>
      <c r="C131" s="305" t="s">
        <v>521</v>
      </c>
      <c r="D131" s="299">
        <v>366</v>
      </c>
      <c r="E131" s="296" t="s">
        <v>55</v>
      </c>
      <c r="F131" s="300">
        <v>152524.70000000001</v>
      </c>
      <c r="G131" s="300">
        <v>1012651.8</v>
      </c>
      <c r="H131" s="300">
        <v>1165176.5</v>
      </c>
      <c r="I131" s="301">
        <v>534495.30000000005</v>
      </c>
      <c r="J131" s="301">
        <v>10161.6</v>
      </c>
      <c r="K131" s="301">
        <v>544656.9</v>
      </c>
      <c r="L131" s="301">
        <v>620519.6</v>
      </c>
      <c r="M131" s="301">
        <v>154268.20000000001</v>
      </c>
      <c r="N131" s="301">
        <v>53089.2</v>
      </c>
      <c r="O131" s="301">
        <v>101179</v>
      </c>
      <c r="P131" s="298">
        <v>0</v>
      </c>
      <c r="Q131" s="298">
        <v>118774.8</v>
      </c>
      <c r="R131" s="298">
        <v>0</v>
      </c>
      <c r="S131" s="298">
        <v>0</v>
      </c>
      <c r="T131" s="298">
        <v>0</v>
      </c>
      <c r="U131" s="301">
        <v>-17595.8</v>
      </c>
      <c r="V131" s="302">
        <f t="shared" si="4"/>
        <v>69.368226890098711</v>
      </c>
      <c r="W131" s="303">
        <v>8945300</v>
      </c>
    </row>
    <row r="132" spans="1:23">
      <c r="A132" s="296">
        <v>128</v>
      </c>
      <c r="B132" s="297">
        <v>2034611</v>
      </c>
      <c r="C132" s="305" t="s">
        <v>622</v>
      </c>
      <c r="D132" s="299">
        <v>40</v>
      </c>
      <c r="E132" s="296" t="s">
        <v>169</v>
      </c>
      <c r="F132" s="300">
        <v>7567673</v>
      </c>
      <c r="G132" s="300">
        <v>2428685.4</v>
      </c>
      <c r="H132" s="300">
        <v>9996358.4000000004</v>
      </c>
      <c r="I132" s="301">
        <v>11616688</v>
      </c>
      <c r="J132" s="301">
        <v>1452938.7</v>
      </c>
      <c r="K132" s="301">
        <v>13069626.699999999</v>
      </c>
      <c r="L132" s="301">
        <v>-3073268.3</v>
      </c>
      <c r="M132" s="301">
        <v>121854.5</v>
      </c>
      <c r="N132" s="301">
        <v>42000</v>
      </c>
      <c r="O132" s="301">
        <v>79854.5</v>
      </c>
      <c r="P132" s="298">
        <v>0</v>
      </c>
      <c r="Q132" s="298">
        <v>97896.2</v>
      </c>
      <c r="R132" s="298">
        <v>0</v>
      </c>
      <c r="S132" s="298">
        <v>-210</v>
      </c>
      <c r="T132" s="298">
        <v>0</v>
      </c>
      <c r="U132" s="301">
        <v>-18251.7</v>
      </c>
      <c r="V132" s="302">
        <f t="shared" si="4"/>
        <v>-9637.725594974896</v>
      </c>
      <c r="W132" s="303">
        <v>318879</v>
      </c>
    </row>
    <row r="133" spans="1:23">
      <c r="A133" s="296">
        <v>129</v>
      </c>
      <c r="B133" s="297">
        <v>2034441</v>
      </c>
      <c r="C133" s="305" t="s">
        <v>704</v>
      </c>
      <c r="D133" s="299">
        <v>98</v>
      </c>
      <c r="E133" s="296" t="s">
        <v>195</v>
      </c>
      <c r="F133" s="300">
        <v>46346.1</v>
      </c>
      <c r="G133" s="300">
        <v>166355.20000000001</v>
      </c>
      <c r="H133" s="300">
        <v>212701.3</v>
      </c>
      <c r="I133" s="301">
        <v>176220.6</v>
      </c>
      <c r="J133" s="298">
        <v>0</v>
      </c>
      <c r="K133" s="301">
        <v>176220.6</v>
      </c>
      <c r="L133" s="301">
        <v>36480.699999999997</v>
      </c>
      <c r="M133" s="301">
        <v>74685</v>
      </c>
      <c r="N133" s="301">
        <v>29473.1</v>
      </c>
      <c r="O133" s="301">
        <v>45211.9</v>
      </c>
      <c r="P133" s="298">
        <v>0</v>
      </c>
      <c r="Q133" s="298">
        <v>64374</v>
      </c>
      <c r="R133" s="298">
        <v>0</v>
      </c>
      <c r="S133" s="298">
        <v>0</v>
      </c>
      <c r="T133" s="298">
        <v>0</v>
      </c>
      <c r="U133" s="301">
        <v>-19162.099999999999</v>
      </c>
      <c r="V133" s="302">
        <f t="shared" si="4"/>
        <v>381.98085944044226</v>
      </c>
      <c r="W133" s="303">
        <v>95504</v>
      </c>
    </row>
    <row r="134" spans="1:23">
      <c r="A134" s="296">
        <v>130</v>
      </c>
      <c r="B134" s="297">
        <v>2034433</v>
      </c>
      <c r="C134" s="305" t="s">
        <v>793</v>
      </c>
      <c r="D134" s="299">
        <v>188</v>
      </c>
      <c r="E134" s="296" t="s">
        <v>188</v>
      </c>
      <c r="F134" s="300">
        <v>1286799.1000000001</v>
      </c>
      <c r="G134" s="300">
        <v>912464.5</v>
      </c>
      <c r="H134" s="300">
        <v>2199263.6</v>
      </c>
      <c r="I134" s="301">
        <v>1760599.8</v>
      </c>
      <c r="J134" s="298">
        <v>0</v>
      </c>
      <c r="K134" s="301">
        <v>1760599.8</v>
      </c>
      <c r="L134" s="301">
        <v>438663.8</v>
      </c>
      <c r="M134" s="301">
        <v>916862</v>
      </c>
      <c r="N134" s="301">
        <v>721938.6</v>
      </c>
      <c r="O134" s="301">
        <v>194923.4</v>
      </c>
      <c r="P134" s="298">
        <v>19119.900000000001</v>
      </c>
      <c r="Q134" s="298">
        <v>238176.2</v>
      </c>
      <c r="R134" s="298">
        <v>0</v>
      </c>
      <c r="S134" s="298">
        <v>0</v>
      </c>
      <c r="T134" s="298">
        <v>0</v>
      </c>
      <c r="U134" s="301">
        <v>-24132.9</v>
      </c>
      <c r="V134" s="302">
        <f t="shared" si="4"/>
        <v>7415.8743575872322</v>
      </c>
      <c r="W134" s="303">
        <v>59152</v>
      </c>
    </row>
    <row r="135" spans="1:23">
      <c r="A135" s="296">
        <v>131</v>
      </c>
      <c r="B135" s="297">
        <v>2553147</v>
      </c>
      <c r="C135" s="305" t="s">
        <v>886</v>
      </c>
      <c r="D135" s="299">
        <v>532</v>
      </c>
      <c r="E135" s="296" t="s">
        <v>92</v>
      </c>
      <c r="F135" s="300">
        <v>8055254.5</v>
      </c>
      <c r="G135" s="300">
        <v>23072168.399999999</v>
      </c>
      <c r="H135" s="300">
        <v>31127422.899999999</v>
      </c>
      <c r="I135" s="301">
        <v>14168702.300000001</v>
      </c>
      <c r="J135" s="298">
        <v>0</v>
      </c>
      <c r="K135" s="301">
        <v>14168702.300000001</v>
      </c>
      <c r="L135" s="301">
        <v>16958720.600000001</v>
      </c>
      <c r="M135" s="298">
        <v>0</v>
      </c>
      <c r="N135" s="298">
        <v>0</v>
      </c>
      <c r="O135" s="298">
        <v>0</v>
      </c>
      <c r="P135" s="298">
        <v>0</v>
      </c>
      <c r="Q135" s="298">
        <v>29596.5</v>
      </c>
      <c r="R135" s="298">
        <v>0</v>
      </c>
      <c r="S135" s="298">
        <v>0</v>
      </c>
      <c r="T135" s="298">
        <v>0</v>
      </c>
      <c r="U135" s="301">
        <v>-29596.5</v>
      </c>
      <c r="V135" s="302">
        <f t="shared" si="4"/>
        <v>167.38185465723379</v>
      </c>
      <c r="W135" s="303">
        <v>101317557</v>
      </c>
    </row>
    <row r="136" spans="1:23">
      <c r="A136" s="296">
        <v>132</v>
      </c>
      <c r="B136" s="297">
        <v>2001772</v>
      </c>
      <c r="C136" s="305" t="s">
        <v>849</v>
      </c>
      <c r="D136" s="299">
        <v>490</v>
      </c>
      <c r="E136" s="296" t="s">
        <v>76</v>
      </c>
      <c r="F136" s="300">
        <v>15259.9</v>
      </c>
      <c r="G136" s="305">
        <v>0</v>
      </c>
      <c r="H136" s="300">
        <v>15259.9</v>
      </c>
      <c r="I136" s="301">
        <v>811363.7</v>
      </c>
      <c r="J136" s="298">
        <v>0</v>
      </c>
      <c r="K136" s="301">
        <v>811363.7</v>
      </c>
      <c r="L136" s="301">
        <v>-796103.8</v>
      </c>
      <c r="M136" s="298">
        <v>0</v>
      </c>
      <c r="N136" s="298">
        <v>0</v>
      </c>
      <c r="O136" s="298">
        <v>0</v>
      </c>
      <c r="P136" s="298">
        <v>70.5</v>
      </c>
      <c r="Q136" s="298">
        <v>29366</v>
      </c>
      <c r="R136" s="298">
        <v>-4405.3</v>
      </c>
      <c r="S136" s="298">
        <v>0</v>
      </c>
      <c r="T136" s="298">
        <v>7</v>
      </c>
      <c r="U136" s="301">
        <v>-33707.800000000003</v>
      </c>
      <c r="V136" s="302">
        <f t="shared" si="4"/>
        <v>-19959.979942334212</v>
      </c>
      <c r="W136" s="303">
        <v>39885</v>
      </c>
    </row>
    <row r="137" spans="1:23">
      <c r="A137" s="296">
        <v>133</v>
      </c>
      <c r="B137" s="297">
        <v>2007711</v>
      </c>
      <c r="C137" s="305" t="s">
        <v>340</v>
      </c>
      <c r="D137" s="299">
        <v>423</v>
      </c>
      <c r="E137" s="296" t="s">
        <v>111</v>
      </c>
      <c r="F137" s="300">
        <v>1622016.7</v>
      </c>
      <c r="G137" s="300">
        <v>667116.4</v>
      </c>
      <c r="H137" s="300">
        <v>2289133.1</v>
      </c>
      <c r="I137" s="301">
        <v>2047503</v>
      </c>
      <c r="J137" s="301">
        <v>180000</v>
      </c>
      <c r="K137" s="301">
        <v>2227503</v>
      </c>
      <c r="L137" s="301">
        <v>61630.1</v>
      </c>
      <c r="M137" s="298">
        <v>0</v>
      </c>
      <c r="N137" s="298">
        <v>0</v>
      </c>
      <c r="O137" s="298">
        <v>0</v>
      </c>
      <c r="P137" s="298">
        <v>0</v>
      </c>
      <c r="Q137" s="298">
        <v>36750.9</v>
      </c>
      <c r="R137" s="298">
        <v>0</v>
      </c>
      <c r="S137" s="298">
        <v>0</v>
      </c>
      <c r="T137" s="298">
        <v>0</v>
      </c>
      <c r="U137" s="301">
        <v>-36750.9</v>
      </c>
      <c r="V137" s="302">
        <f t="shared" si="4"/>
        <v>40.718314028007917</v>
      </c>
      <c r="W137" s="303">
        <v>1513572</v>
      </c>
    </row>
    <row r="138" spans="1:23">
      <c r="A138" s="296">
        <v>134</v>
      </c>
      <c r="B138" s="297">
        <v>2054779</v>
      </c>
      <c r="C138" s="305" t="s">
        <v>565</v>
      </c>
      <c r="D138" s="299">
        <v>61</v>
      </c>
      <c r="E138" s="296" t="s">
        <v>161</v>
      </c>
      <c r="F138" s="300">
        <v>52713</v>
      </c>
      <c r="G138" s="300">
        <v>316962.8</v>
      </c>
      <c r="H138" s="300">
        <v>369675.8</v>
      </c>
      <c r="I138" s="301">
        <v>182819.6</v>
      </c>
      <c r="J138" s="301">
        <v>199999.6</v>
      </c>
      <c r="K138" s="301">
        <v>382819.2</v>
      </c>
      <c r="L138" s="301">
        <v>-13143.4</v>
      </c>
      <c r="M138" s="301">
        <v>17016</v>
      </c>
      <c r="N138" s="298">
        <v>0</v>
      </c>
      <c r="O138" s="301">
        <v>17016</v>
      </c>
      <c r="P138" s="298">
        <v>0</v>
      </c>
      <c r="Q138" s="298">
        <v>56334.7</v>
      </c>
      <c r="R138" s="298">
        <v>0</v>
      </c>
      <c r="S138" s="298">
        <v>0</v>
      </c>
      <c r="T138" s="298">
        <v>0</v>
      </c>
      <c r="U138" s="301">
        <v>-39318.699999999997</v>
      </c>
      <c r="V138" s="302">
        <f t="shared" si="4"/>
        <v>-177.20880691393978</v>
      </c>
      <c r="W138" s="303">
        <v>74169</v>
      </c>
    </row>
    <row r="139" spans="1:23">
      <c r="A139" s="296">
        <v>135</v>
      </c>
      <c r="B139" s="297">
        <v>2001861</v>
      </c>
      <c r="C139" s="305" t="s">
        <v>518</v>
      </c>
      <c r="D139" s="299">
        <v>380</v>
      </c>
      <c r="E139" s="296" t="s">
        <v>128</v>
      </c>
      <c r="F139" s="300">
        <v>672887.3</v>
      </c>
      <c r="G139" s="300">
        <v>1044205.8</v>
      </c>
      <c r="H139" s="300">
        <v>1717093.1</v>
      </c>
      <c r="I139" s="301">
        <v>673437.7</v>
      </c>
      <c r="J139" s="298">
        <v>0</v>
      </c>
      <c r="K139" s="301">
        <v>673437.7</v>
      </c>
      <c r="L139" s="301">
        <v>1043655.4</v>
      </c>
      <c r="M139" s="301">
        <v>1412792.7</v>
      </c>
      <c r="N139" s="301">
        <v>990005.3</v>
      </c>
      <c r="O139" s="301">
        <v>422787.4</v>
      </c>
      <c r="P139" s="298">
        <v>4059</v>
      </c>
      <c r="Q139" s="298">
        <v>468675.3</v>
      </c>
      <c r="R139" s="298">
        <v>-28.8</v>
      </c>
      <c r="S139" s="298">
        <v>0</v>
      </c>
      <c r="T139" s="298">
        <v>303.10000000000002</v>
      </c>
      <c r="U139" s="301">
        <v>-42160.800000000003</v>
      </c>
      <c r="V139" s="302">
        <f t="shared" ref="V139:V170" si="5">(L139/W139)*1000</f>
        <v>1689.5337354585749</v>
      </c>
      <c r="W139" s="303">
        <v>617718</v>
      </c>
    </row>
    <row r="140" spans="1:23">
      <c r="A140" s="296">
        <v>136</v>
      </c>
      <c r="B140" s="297">
        <v>2016273</v>
      </c>
      <c r="C140" s="305" t="s">
        <v>290</v>
      </c>
      <c r="D140" s="299">
        <v>452</v>
      </c>
      <c r="E140" s="296" t="s">
        <v>117</v>
      </c>
      <c r="F140" s="300">
        <v>471267.9</v>
      </c>
      <c r="G140" s="300">
        <v>2116108.5</v>
      </c>
      <c r="H140" s="300">
        <v>2587376.4</v>
      </c>
      <c r="I140" s="301">
        <v>198153.8</v>
      </c>
      <c r="J140" s="301">
        <v>5501881.7999999998</v>
      </c>
      <c r="K140" s="301">
        <v>5700035.5999999996</v>
      </c>
      <c r="L140" s="301">
        <v>-3112659.2</v>
      </c>
      <c r="M140" s="301">
        <v>101554.5</v>
      </c>
      <c r="N140" s="298">
        <v>0</v>
      </c>
      <c r="O140" s="301">
        <v>101554.5</v>
      </c>
      <c r="P140" s="298">
        <v>2.1</v>
      </c>
      <c r="Q140" s="298">
        <v>144464.5</v>
      </c>
      <c r="R140" s="298">
        <v>0</v>
      </c>
      <c r="S140" s="298">
        <v>0</v>
      </c>
      <c r="T140" s="298">
        <v>0.2</v>
      </c>
      <c r="U140" s="301">
        <v>-42908.1</v>
      </c>
      <c r="V140" s="302">
        <f t="shared" si="5"/>
        <v>-1345.5615167906683</v>
      </c>
      <c r="W140" s="303">
        <v>2313279</v>
      </c>
    </row>
    <row r="141" spans="1:23">
      <c r="A141" s="296">
        <v>137</v>
      </c>
      <c r="B141" s="297">
        <v>5631084</v>
      </c>
      <c r="C141" s="305" t="s">
        <v>882</v>
      </c>
      <c r="D141" s="299">
        <v>56</v>
      </c>
      <c r="E141" s="296" t="s">
        <v>104</v>
      </c>
      <c r="F141" s="300">
        <v>23786.7</v>
      </c>
      <c r="G141" s="300">
        <v>849072.2</v>
      </c>
      <c r="H141" s="300">
        <v>872858.9</v>
      </c>
      <c r="I141" s="301">
        <v>65084.6</v>
      </c>
      <c r="J141" s="298">
        <v>0</v>
      </c>
      <c r="K141" s="301">
        <v>65084.6</v>
      </c>
      <c r="L141" s="301">
        <v>807774.3</v>
      </c>
      <c r="M141" s="298">
        <v>0</v>
      </c>
      <c r="N141" s="298">
        <v>0</v>
      </c>
      <c r="O141" s="298">
        <v>0</v>
      </c>
      <c r="P141" s="298">
        <v>184687.5</v>
      </c>
      <c r="Q141" s="298">
        <v>234038.1</v>
      </c>
      <c r="R141" s="298">
        <v>0</v>
      </c>
      <c r="S141" s="298">
        <v>0</v>
      </c>
      <c r="T141" s="298">
        <v>42.1</v>
      </c>
      <c r="U141" s="301">
        <v>-49392.7</v>
      </c>
      <c r="V141" s="302">
        <f t="shared" si="5"/>
        <v>2730.876998441478</v>
      </c>
      <c r="W141" s="303">
        <v>295793</v>
      </c>
    </row>
    <row r="142" spans="1:23">
      <c r="A142" s="296">
        <v>138</v>
      </c>
      <c r="B142" s="297">
        <v>2012294</v>
      </c>
      <c r="C142" s="305" t="s">
        <v>588</v>
      </c>
      <c r="D142" s="299">
        <v>459</v>
      </c>
      <c r="E142" s="296" t="s">
        <v>157</v>
      </c>
      <c r="F142" s="300">
        <v>718823.6</v>
      </c>
      <c r="G142" s="300">
        <v>358320.4</v>
      </c>
      <c r="H142" s="300">
        <v>1077144</v>
      </c>
      <c r="I142" s="301">
        <v>255374</v>
      </c>
      <c r="J142" s="298">
        <v>0</v>
      </c>
      <c r="K142" s="301">
        <v>255374</v>
      </c>
      <c r="L142" s="301">
        <v>821770</v>
      </c>
      <c r="M142" s="301">
        <v>84831.4</v>
      </c>
      <c r="N142" s="301">
        <v>95009</v>
      </c>
      <c r="O142" s="301">
        <v>-10177.6</v>
      </c>
      <c r="P142" s="298">
        <v>8683.4</v>
      </c>
      <c r="Q142" s="298">
        <v>49837.3</v>
      </c>
      <c r="R142" s="298">
        <v>0</v>
      </c>
      <c r="S142" s="298">
        <v>0</v>
      </c>
      <c r="T142" s="298">
        <v>0</v>
      </c>
      <c r="U142" s="301">
        <v>-51331.5</v>
      </c>
      <c r="V142" s="302">
        <f t="shared" si="5"/>
        <v>2069.5065288288401</v>
      </c>
      <c r="W142" s="303">
        <v>397085</v>
      </c>
    </row>
    <row r="143" spans="1:23">
      <c r="A143" s="296">
        <v>139</v>
      </c>
      <c r="B143" s="297">
        <v>2067153</v>
      </c>
      <c r="C143" s="305" t="s">
        <v>701</v>
      </c>
      <c r="D143" s="299">
        <v>409</v>
      </c>
      <c r="E143" s="296" t="s">
        <v>181</v>
      </c>
      <c r="F143" s="300">
        <v>1577895.2</v>
      </c>
      <c r="G143" s="300">
        <v>468854.9</v>
      </c>
      <c r="H143" s="300">
        <v>2046750.1</v>
      </c>
      <c r="I143" s="301">
        <v>1364824.6</v>
      </c>
      <c r="J143" s="298">
        <v>0</v>
      </c>
      <c r="K143" s="301">
        <v>1364824.6</v>
      </c>
      <c r="L143" s="301">
        <v>681925.5</v>
      </c>
      <c r="M143" s="301">
        <v>20880.2</v>
      </c>
      <c r="N143" s="298">
        <v>0</v>
      </c>
      <c r="O143" s="301">
        <v>20880.2</v>
      </c>
      <c r="P143" s="298">
        <v>10.5</v>
      </c>
      <c r="Q143" s="298">
        <v>76263.3</v>
      </c>
      <c r="R143" s="298">
        <v>-1902.6</v>
      </c>
      <c r="S143" s="298">
        <v>0</v>
      </c>
      <c r="T143" s="298">
        <v>0</v>
      </c>
      <c r="U143" s="301">
        <v>-57275.199999999997</v>
      </c>
      <c r="V143" s="302">
        <f t="shared" si="5"/>
        <v>5806.7346747617876</v>
      </c>
      <c r="W143" s="303">
        <v>117437</v>
      </c>
    </row>
    <row r="144" spans="1:23">
      <c r="A144" s="296">
        <v>140</v>
      </c>
      <c r="B144" s="297">
        <v>2024101</v>
      </c>
      <c r="C144" s="305" t="s">
        <v>2631</v>
      </c>
      <c r="D144" s="299">
        <v>38</v>
      </c>
      <c r="E144" s="296" t="s">
        <v>59</v>
      </c>
      <c r="F144" s="300">
        <v>6277257.2000000002</v>
      </c>
      <c r="G144" s="300">
        <v>10535223.9</v>
      </c>
      <c r="H144" s="300">
        <v>16812481.100000001</v>
      </c>
      <c r="I144" s="301">
        <v>4776185.8</v>
      </c>
      <c r="J144" s="301">
        <v>3519272.9</v>
      </c>
      <c r="K144" s="301">
        <v>8295458.7000000002</v>
      </c>
      <c r="L144" s="301">
        <v>8517022.4000000004</v>
      </c>
      <c r="M144" s="301">
        <v>3091.1</v>
      </c>
      <c r="N144" s="298">
        <v>0</v>
      </c>
      <c r="O144" s="301">
        <v>3091.1</v>
      </c>
      <c r="P144" s="298">
        <v>9097.1</v>
      </c>
      <c r="Q144" s="298">
        <v>69496.800000000003</v>
      </c>
      <c r="R144" s="298">
        <v>0</v>
      </c>
      <c r="S144" s="298">
        <v>0</v>
      </c>
      <c r="T144" s="298">
        <v>0</v>
      </c>
      <c r="U144" s="301">
        <v>-57308.6</v>
      </c>
      <c r="V144" s="302">
        <f t="shared" si="5"/>
        <v>21281.276923230689</v>
      </c>
      <c r="W144" s="303">
        <v>400212</v>
      </c>
    </row>
    <row r="145" spans="1:23">
      <c r="A145" s="296">
        <v>141</v>
      </c>
      <c r="B145" s="297">
        <v>2042134</v>
      </c>
      <c r="C145" s="305" t="s">
        <v>825</v>
      </c>
      <c r="D145" s="299">
        <v>525</v>
      </c>
      <c r="E145" s="296" t="s">
        <v>149</v>
      </c>
      <c r="F145" s="300">
        <v>2196384.4</v>
      </c>
      <c r="G145" s="300">
        <v>2799483.9</v>
      </c>
      <c r="H145" s="300">
        <v>4995868.3</v>
      </c>
      <c r="I145" s="301">
        <v>551418.19999999995</v>
      </c>
      <c r="J145" s="301">
        <v>89917.6</v>
      </c>
      <c r="K145" s="301">
        <v>641335.80000000005</v>
      </c>
      <c r="L145" s="301">
        <v>4354532.5</v>
      </c>
      <c r="M145" s="301">
        <v>127567.7</v>
      </c>
      <c r="N145" s="301">
        <v>48117.8</v>
      </c>
      <c r="O145" s="301">
        <v>79449.899999999994</v>
      </c>
      <c r="P145" s="298">
        <v>653.6</v>
      </c>
      <c r="Q145" s="298">
        <v>139121.70000000001</v>
      </c>
      <c r="R145" s="298">
        <v>-99.8</v>
      </c>
      <c r="S145" s="298">
        <v>0</v>
      </c>
      <c r="T145" s="298">
        <v>30.6</v>
      </c>
      <c r="U145" s="301">
        <v>-59148.6</v>
      </c>
      <c r="V145" s="302">
        <f t="shared" si="5"/>
        <v>83.549882831493505</v>
      </c>
      <c r="W145" s="303">
        <v>52118954</v>
      </c>
    </row>
    <row r="146" spans="1:23" s="15" customFormat="1">
      <c r="A146" s="296">
        <v>142</v>
      </c>
      <c r="B146" s="314">
        <v>2071096</v>
      </c>
      <c r="C146" s="305" t="s">
        <v>870</v>
      </c>
      <c r="D146" s="299">
        <v>373</v>
      </c>
      <c r="E146" s="296" t="s">
        <v>56</v>
      </c>
      <c r="F146" s="300">
        <v>64380.3</v>
      </c>
      <c r="G146" s="300">
        <v>146595.9</v>
      </c>
      <c r="H146" s="300">
        <v>210976.2</v>
      </c>
      <c r="I146" s="301">
        <v>3708831.7</v>
      </c>
      <c r="J146" s="298">
        <v>0</v>
      </c>
      <c r="K146" s="301">
        <v>3708831.7</v>
      </c>
      <c r="L146" s="301">
        <v>-3497855.5</v>
      </c>
      <c r="M146" s="301">
        <v>29971.599999999999</v>
      </c>
      <c r="N146" s="298">
        <v>291.2</v>
      </c>
      <c r="O146" s="301">
        <v>29680.400000000001</v>
      </c>
      <c r="P146" s="298">
        <v>8.6</v>
      </c>
      <c r="Q146" s="298">
        <v>89874.8</v>
      </c>
      <c r="R146" s="298">
        <v>0</v>
      </c>
      <c r="S146" s="298">
        <v>0</v>
      </c>
      <c r="T146" s="298">
        <v>0</v>
      </c>
      <c r="U146" s="301">
        <v>-60185.8</v>
      </c>
      <c r="V146" s="302">
        <f t="shared" si="5"/>
        <v>-37043.351407451337</v>
      </c>
      <c r="W146" s="303">
        <v>94426</v>
      </c>
    </row>
    <row r="147" spans="1:23">
      <c r="A147" s="296">
        <v>143</v>
      </c>
      <c r="B147" s="297">
        <v>5214203</v>
      </c>
      <c r="C147" s="305" t="s">
        <v>694</v>
      </c>
      <c r="D147" s="299">
        <v>527</v>
      </c>
      <c r="E147" s="296" t="s">
        <v>88</v>
      </c>
      <c r="F147" s="300">
        <v>29935.9</v>
      </c>
      <c r="G147" s="300">
        <v>1331761.2</v>
      </c>
      <c r="H147" s="300">
        <v>1361697.1</v>
      </c>
      <c r="I147" s="301">
        <v>36710.400000000001</v>
      </c>
      <c r="J147" s="298">
        <v>0</v>
      </c>
      <c r="K147" s="301">
        <v>36710.400000000001</v>
      </c>
      <c r="L147" s="301">
        <v>1324986.7</v>
      </c>
      <c r="M147" s="301">
        <v>42477.3</v>
      </c>
      <c r="N147" s="298">
        <v>0</v>
      </c>
      <c r="O147" s="301">
        <v>42477.3</v>
      </c>
      <c r="P147" s="298">
        <v>0</v>
      </c>
      <c r="Q147" s="298">
        <v>103016.7</v>
      </c>
      <c r="R147" s="298">
        <v>0</v>
      </c>
      <c r="S147" s="298">
        <v>0</v>
      </c>
      <c r="T147" s="298">
        <v>0</v>
      </c>
      <c r="U147" s="301">
        <v>-60539.4</v>
      </c>
      <c r="V147" s="302">
        <f t="shared" si="5"/>
        <v>136.5895685550957</v>
      </c>
      <c r="W147" s="303">
        <v>9700497</v>
      </c>
    </row>
    <row r="148" spans="1:23" s="15" customFormat="1">
      <c r="A148" s="296">
        <v>144</v>
      </c>
      <c r="B148" s="311">
        <v>2073943</v>
      </c>
      <c r="C148" s="305" t="s">
        <v>722</v>
      </c>
      <c r="D148" s="299">
        <v>317</v>
      </c>
      <c r="E148" s="296" t="s">
        <v>183</v>
      </c>
      <c r="F148" s="300">
        <v>2360442.2999999998</v>
      </c>
      <c r="G148" s="300">
        <v>583944.30000000005</v>
      </c>
      <c r="H148" s="300">
        <v>2944386.6</v>
      </c>
      <c r="I148" s="301">
        <v>1389487.4</v>
      </c>
      <c r="J148" s="301">
        <v>798000</v>
      </c>
      <c r="K148" s="301">
        <v>2187487.4</v>
      </c>
      <c r="L148" s="301">
        <v>756899.2</v>
      </c>
      <c r="M148" s="301">
        <v>44381.5</v>
      </c>
      <c r="N148" s="301">
        <v>50207.9</v>
      </c>
      <c r="O148" s="301">
        <v>-5826.4</v>
      </c>
      <c r="P148" s="298">
        <v>0</v>
      </c>
      <c r="Q148" s="298">
        <v>47261.1</v>
      </c>
      <c r="R148" s="298">
        <v>-7520.4</v>
      </c>
      <c r="S148" s="298">
        <v>0</v>
      </c>
      <c r="T148" s="298">
        <v>0</v>
      </c>
      <c r="U148" s="301">
        <v>-60607.9</v>
      </c>
      <c r="V148" s="302">
        <f t="shared" si="5"/>
        <v>16.335506669508025</v>
      </c>
      <c r="W148" s="303">
        <v>46334602</v>
      </c>
    </row>
    <row r="149" spans="1:23">
      <c r="A149" s="296">
        <v>145</v>
      </c>
      <c r="B149" s="297">
        <v>2091283</v>
      </c>
      <c r="C149" s="305" t="s">
        <v>555</v>
      </c>
      <c r="D149" s="304">
        <v>246</v>
      </c>
      <c r="E149" s="321" t="s">
        <v>46</v>
      </c>
      <c r="F149" s="300">
        <v>2708426.9</v>
      </c>
      <c r="G149" s="300">
        <v>27260.7</v>
      </c>
      <c r="H149" s="300">
        <v>2735687.6</v>
      </c>
      <c r="I149" s="300">
        <v>817815.2</v>
      </c>
      <c r="J149" s="300">
        <v>714131.9</v>
      </c>
      <c r="K149" s="300">
        <v>1531947.1</v>
      </c>
      <c r="L149" s="300">
        <v>1203740.5</v>
      </c>
      <c r="M149" s="300">
        <v>2492.6999999999998</v>
      </c>
      <c r="N149" s="305">
        <v>0</v>
      </c>
      <c r="O149" s="300">
        <v>2492.6999999999998</v>
      </c>
      <c r="P149" s="305">
        <v>0</v>
      </c>
      <c r="Q149" s="305">
        <v>77822.7</v>
      </c>
      <c r="R149" s="305">
        <v>12.1</v>
      </c>
      <c r="S149" s="305">
        <v>0</v>
      </c>
      <c r="T149" s="305">
        <v>0</v>
      </c>
      <c r="U149" s="300">
        <v>-75317.899999999994</v>
      </c>
      <c r="V149" s="308">
        <f t="shared" si="5"/>
        <v>23.02888766466813</v>
      </c>
      <c r="W149" s="303">
        <v>52270892</v>
      </c>
    </row>
    <row r="150" spans="1:23">
      <c r="A150" s="296">
        <v>146</v>
      </c>
      <c r="B150" s="297">
        <v>2075024</v>
      </c>
      <c r="C150" s="305" t="s">
        <v>928</v>
      </c>
      <c r="D150" s="299">
        <v>537</v>
      </c>
      <c r="E150" s="296" t="s">
        <v>93</v>
      </c>
      <c r="F150" s="300">
        <v>237380.4</v>
      </c>
      <c r="G150" s="300">
        <v>5092117.0999999996</v>
      </c>
      <c r="H150" s="300">
        <v>5329497.5</v>
      </c>
      <c r="I150" s="301">
        <v>265380.5</v>
      </c>
      <c r="J150" s="301">
        <v>188000</v>
      </c>
      <c r="K150" s="301">
        <v>453380.5</v>
      </c>
      <c r="L150" s="301">
        <v>4876117</v>
      </c>
      <c r="M150" s="301">
        <v>355250.1</v>
      </c>
      <c r="N150" s="298">
        <v>0</v>
      </c>
      <c r="O150" s="301">
        <v>355250.1</v>
      </c>
      <c r="P150" s="298">
        <v>82664.399999999994</v>
      </c>
      <c r="Q150" s="298">
        <v>521608.5</v>
      </c>
      <c r="R150" s="298">
        <v>1.5</v>
      </c>
      <c r="S150" s="301">
        <v>-1193.2</v>
      </c>
      <c r="T150" s="298">
        <v>2.1</v>
      </c>
      <c r="U150" s="301">
        <v>-84887.8</v>
      </c>
      <c r="V150" s="302">
        <f t="shared" si="5"/>
        <v>105.543658008658</v>
      </c>
      <c r="W150" s="303">
        <v>46200000</v>
      </c>
    </row>
    <row r="151" spans="1:23">
      <c r="A151" s="296">
        <v>147</v>
      </c>
      <c r="B151" s="297">
        <v>2075148</v>
      </c>
      <c r="C151" s="305" t="s">
        <v>609</v>
      </c>
      <c r="D151" s="299">
        <v>540</v>
      </c>
      <c r="E151" s="296" t="s">
        <v>162</v>
      </c>
      <c r="F151" s="300">
        <v>3701074.5</v>
      </c>
      <c r="G151" s="300">
        <v>4332806.5</v>
      </c>
      <c r="H151" s="300">
        <v>8033881</v>
      </c>
      <c r="I151" s="301">
        <v>2841867.1</v>
      </c>
      <c r="J151" s="298">
        <v>0</v>
      </c>
      <c r="K151" s="301">
        <v>2841867.1</v>
      </c>
      <c r="L151" s="301">
        <v>5192013.9000000004</v>
      </c>
      <c r="M151" s="301">
        <v>69930</v>
      </c>
      <c r="N151" s="301">
        <v>69930</v>
      </c>
      <c r="O151" s="298">
        <v>0</v>
      </c>
      <c r="P151" s="298">
        <v>0.7</v>
      </c>
      <c r="Q151" s="298">
        <v>87964.800000000003</v>
      </c>
      <c r="R151" s="298">
        <v>0</v>
      </c>
      <c r="S151" s="298">
        <v>0</v>
      </c>
      <c r="T151" s="298">
        <v>0</v>
      </c>
      <c r="U151" s="301">
        <v>-87964.1</v>
      </c>
      <c r="V151" s="302">
        <f t="shared" si="5"/>
        <v>79.870993000538434</v>
      </c>
      <c r="W151" s="303">
        <v>65005000</v>
      </c>
    </row>
    <row r="152" spans="1:23">
      <c r="A152" s="296">
        <v>148</v>
      </c>
      <c r="B152" s="297">
        <v>2075164</v>
      </c>
      <c r="C152" s="305" t="s">
        <v>880</v>
      </c>
      <c r="D152" s="299">
        <v>454</v>
      </c>
      <c r="E152" s="296" t="s">
        <v>68</v>
      </c>
      <c r="F152" s="300">
        <v>18401.5</v>
      </c>
      <c r="G152" s="300">
        <v>5348574.5999999996</v>
      </c>
      <c r="H152" s="300">
        <v>5366976.0999999996</v>
      </c>
      <c r="I152" s="301">
        <v>3570593.5</v>
      </c>
      <c r="J152" s="301">
        <v>3598326.3</v>
      </c>
      <c r="K152" s="301">
        <v>7168919.7999999998</v>
      </c>
      <c r="L152" s="301">
        <v>-1801943.7</v>
      </c>
      <c r="M152" s="298">
        <v>0</v>
      </c>
      <c r="N152" s="298">
        <v>0</v>
      </c>
      <c r="O152" s="298">
        <v>0</v>
      </c>
      <c r="P152" s="298">
        <v>0</v>
      </c>
      <c r="Q152" s="298">
        <v>88030.7</v>
      </c>
      <c r="R152" s="298">
        <v>0</v>
      </c>
      <c r="S152" s="298">
        <v>0</v>
      </c>
      <c r="T152" s="298">
        <v>0</v>
      </c>
      <c r="U152" s="301">
        <v>-88030.7</v>
      </c>
      <c r="V152" s="302">
        <f t="shared" si="5"/>
        <v>-10045.791172584502</v>
      </c>
      <c r="W152" s="303">
        <v>179373</v>
      </c>
    </row>
    <row r="153" spans="1:23">
      <c r="A153" s="296">
        <v>149</v>
      </c>
      <c r="B153" s="297">
        <v>2687569</v>
      </c>
      <c r="C153" s="305" t="s">
        <v>895</v>
      </c>
      <c r="D153" s="299">
        <v>65</v>
      </c>
      <c r="E153" s="296" t="s">
        <v>105</v>
      </c>
      <c r="F153" s="300">
        <v>142671.5</v>
      </c>
      <c r="G153" s="300">
        <v>10100</v>
      </c>
      <c r="H153" s="300">
        <v>152771.5</v>
      </c>
      <c r="I153" s="301">
        <v>5887.7</v>
      </c>
      <c r="J153" s="301">
        <v>100000</v>
      </c>
      <c r="K153" s="301">
        <v>105887.7</v>
      </c>
      <c r="L153" s="301">
        <v>46883.8</v>
      </c>
      <c r="M153" s="298">
        <v>0</v>
      </c>
      <c r="N153" s="298">
        <v>0</v>
      </c>
      <c r="O153" s="298">
        <v>0</v>
      </c>
      <c r="P153" s="298">
        <v>321.2</v>
      </c>
      <c r="Q153" s="298">
        <v>10970</v>
      </c>
      <c r="R153" s="298">
        <v>-89282.3</v>
      </c>
      <c r="S153" s="298">
        <v>0</v>
      </c>
      <c r="T153" s="298">
        <v>0</v>
      </c>
      <c r="U153" s="301">
        <v>-99931.1</v>
      </c>
      <c r="V153" s="302">
        <f t="shared" si="5"/>
        <v>905.05771977915913</v>
      </c>
      <c r="W153" s="303">
        <v>51802</v>
      </c>
    </row>
    <row r="154" spans="1:23">
      <c r="A154" s="296">
        <v>150</v>
      </c>
      <c r="B154" s="297">
        <v>2066939</v>
      </c>
      <c r="C154" s="305" t="s">
        <v>837</v>
      </c>
      <c r="D154" s="299">
        <v>179</v>
      </c>
      <c r="E154" s="296" t="s">
        <v>37</v>
      </c>
      <c r="F154" s="300">
        <v>4816353.7</v>
      </c>
      <c r="G154" s="300">
        <v>2930632.1</v>
      </c>
      <c r="H154" s="300">
        <v>7746985.7999999998</v>
      </c>
      <c r="I154" s="301">
        <v>8261859.2999999998</v>
      </c>
      <c r="J154" s="301">
        <v>140000</v>
      </c>
      <c r="K154" s="301">
        <v>8401859.3000000007</v>
      </c>
      <c r="L154" s="301">
        <v>-654873.5</v>
      </c>
      <c r="M154" s="301">
        <v>251239.4</v>
      </c>
      <c r="N154" s="301">
        <v>251125.9</v>
      </c>
      <c r="O154" s="298">
        <v>113.5</v>
      </c>
      <c r="P154" s="298">
        <v>2636.3</v>
      </c>
      <c r="Q154" s="298">
        <v>104393.7</v>
      </c>
      <c r="R154" s="298">
        <v>0</v>
      </c>
      <c r="S154" s="298">
        <v>0</v>
      </c>
      <c r="T154" s="298">
        <v>0</v>
      </c>
      <c r="U154" s="301">
        <v>-101643.9</v>
      </c>
      <c r="V154" s="302">
        <f t="shared" si="5"/>
        <v>-1213.8188928945442</v>
      </c>
      <c r="W154" s="303">
        <v>539515</v>
      </c>
    </row>
    <row r="155" spans="1:23">
      <c r="A155" s="296">
        <v>151</v>
      </c>
      <c r="B155" s="297">
        <v>2604795</v>
      </c>
      <c r="C155" s="305" t="s">
        <v>780</v>
      </c>
      <c r="D155" s="299">
        <v>142</v>
      </c>
      <c r="E155" s="296" t="s">
        <v>192</v>
      </c>
      <c r="F155" s="300">
        <v>73015.399999999994</v>
      </c>
      <c r="G155" s="300">
        <v>75029.399999999994</v>
      </c>
      <c r="H155" s="300">
        <v>148044.79999999999</v>
      </c>
      <c r="I155" s="301">
        <v>1093862.8999999999</v>
      </c>
      <c r="J155" s="298">
        <v>0</v>
      </c>
      <c r="K155" s="301">
        <v>1093862.8999999999</v>
      </c>
      <c r="L155" s="301">
        <v>-945818.1</v>
      </c>
      <c r="M155" s="298">
        <v>0</v>
      </c>
      <c r="N155" s="298">
        <v>0</v>
      </c>
      <c r="O155" s="298">
        <v>0</v>
      </c>
      <c r="P155" s="298">
        <v>0</v>
      </c>
      <c r="Q155" s="298">
        <v>106782.6</v>
      </c>
      <c r="R155" s="298">
        <v>0</v>
      </c>
      <c r="S155" s="298">
        <v>0</v>
      </c>
      <c r="T155" s="298">
        <v>0</v>
      </c>
      <c r="U155" s="301">
        <v>-106782.6</v>
      </c>
      <c r="V155" s="302">
        <f t="shared" si="5"/>
        <v>-12726.635539169514</v>
      </c>
      <c r="W155" s="303">
        <v>74318</v>
      </c>
    </row>
    <row r="156" spans="1:23">
      <c r="A156" s="296">
        <v>152</v>
      </c>
      <c r="B156" s="297">
        <v>2044161</v>
      </c>
      <c r="C156" s="305" t="s">
        <v>511</v>
      </c>
      <c r="D156" s="299">
        <v>252</v>
      </c>
      <c r="E156" s="296" t="s">
        <v>48</v>
      </c>
      <c r="F156" s="300">
        <v>4031420.3</v>
      </c>
      <c r="G156" s="300">
        <v>39690341.5</v>
      </c>
      <c r="H156" s="300">
        <v>43721761.799999997</v>
      </c>
      <c r="I156" s="301">
        <v>4428770.7</v>
      </c>
      <c r="J156" s="301">
        <v>4050000</v>
      </c>
      <c r="K156" s="301">
        <v>8478770.6999999993</v>
      </c>
      <c r="L156" s="301">
        <v>35242991.100000001</v>
      </c>
      <c r="M156" s="301">
        <v>9970.6</v>
      </c>
      <c r="N156" s="298">
        <v>0</v>
      </c>
      <c r="O156" s="301">
        <v>9970.6</v>
      </c>
      <c r="P156" s="298">
        <v>0</v>
      </c>
      <c r="Q156" s="298">
        <v>117010.5</v>
      </c>
      <c r="R156" s="298">
        <v>4.7</v>
      </c>
      <c r="S156" s="298">
        <v>0</v>
      </c>
      <c r="T156" s="298">
        <v>0</v>
      </c>
      <c r="U156" s="301">
        <v>-107035.2</v>
      </c>
      <c r="V156" s="302">
        <f t="shared" si="5"/>
        <v>57342.69292535181</v>
      </c>
      <c r="W156" s="303">
        <v>614603</v>
      </c>
    </row>
    <row r="157" spans="1:23">
      <c r="A157" s="296">
        <v>153</v>
      </c>
      <c r="B157" s="297">
        <v>2051834</v>
      </c>
      <c r="C157" s="305" t="s">
        <v>294</v>
      </c>
      <c r="D157" s="299">
        <v>445</v>
      </c>
      <c r="E157" s="296" t="s">
        <v>67</v>
      </c>
      <c r="F157" s="300">
        <v>4608176.0999999996</v>
      </c>
      <c r="G157" s="300">
        <v>4166626.2</v>
      </c>
      <c r="H157" s="300">
        <v>8774802.3000000007</v>
      </c>
      <c r="I157" s="301">
        <v>3262226.6</v>
      </c>
      <c r="J157" s="301">
        <v>771440.9</v>
      </c>
      <c r="K157" s="301">
        <v>4033667.5</v>
      </c>
      <c r="L157" s="301">
        <v>4741134.8</v>
      </c>
      <c r="M157" s="301">
        <v>2150397.7999999998</v>
      </c>
      <c r="N157" s="301">
        <v>2345699.2000000002</v>
      </c>
      <c r="O157" s="301">
        <v>-195301.4</v>
      </c>
      <c r="P157" s="298">
        <v>57318.5</v>
      </c>
      <c r="Q157" s="298">
        <v>0</v>
      </c>
      <c r="R157" s="298">
        <v>0</v>
      </c>
      <c r="S157" s="298">
        <v>0</v>
      </c>
      <c r="T157" s="298">
        <v>0</v>
      </c>
      <c r="U157" s="301">
        <v>-137982.9</v>
      </c>
      <c r="V157" s="302">
        <f t="shared" si="5"/>
        <v>18768.743666075501</v>
      </c>
      <c r="W157" s="303">
        <v>252608</v>
      </c>
    </row>
    <row r="158" spans="1:23">
      <c r="A158" s="296">
        <v>154</v>
      </c>
      <c r="B158" s="297">
        <v>2006316</v>
      </c>
      <c r="C158" s="305" t="s">
        <v>767</v>
      </c>
      <c r="D158" s="299">
        <v>464</v>
      </c>
      <c r="E158" s="296" t="s">
        <v>72</v>
      </c>
      <c r="F158" s="300">
        <v>925669.1</v>
      </c>
      <c r="G158" s="300">
        <v>1285170.1000000001</v>
      </c>
      <c r="H158" s="300">
        <v>2210839.2000000002</v>
      </c>
      <c r="I158" s="301">
        <v>550383</v>
      </c>
      <c r="J158" s="301">
        <v>695434</v>
      </c>
      <c r="K158" s="301">
        <v>1245817</v>
      </c>
      <c r="L158" s="301">
        <v>965022.2</v>
      </c>
      <c r="M158" s="301">
        <v>554546.9</v>
      </c>
      <c r="N158" s="301">
        <v>595705.19999999995</v>
      </c>
      <c r="O158" s="301">
        <v>-41158.300000000003</v>
      </c>
      <c r="P158" s="298">
        <v>22.9</v>
      </c>
      <c r="Q158" s="298">
        <v>107830.39999999999</v>
      </c>
      <c r="R158" s="298">
        <v>0</v>
      </c>
      <c r="S158" s="298">
        <v>0</v>
      </c>
      <c r="T158" s="298">
        <v>2.2999999999999998</v>
      </c>
      <c r="U158" s="301">
        <v>-148968.1</v>
      </c>
      <c r="V158" s="302">
        <f t="shared" si="5"/>
        <v>1389.9931438184899</v>
      </c>
      <c r="W158" s="303">
        <v>694264</v>
      </c>
    </row>
    <row r="159" spans="1:23">
      <c r="A159" s="296">
        <v>155</v>
      </c>
      <c r="B159" s="297">
        <v>2054981</v>
      </c>
      <c r="C159" s="305" t="s">
        <v>583</v>
      </c>
      <c r="D159" s="299">
        <v>329</v>
      </c>
      <c r="E159" s="296" t="s">
        <v>158</v>
      </c>
      <c r="F159" s="300">
        <v>875220.7</v>
      </c>
      <c r="G159" s="300">
        <v>716705.5</v>
      </c>
      <c r="H159" s="300">
        <v>1591926.2</v>
      </c>
      <c r="I159" s="301">
        <v>779999.6</v>
      </c>
      <c r="J159" s="298">
        <v>0</v>
      </c>
      <c r="K159" s="301">
        <v>779999.6</v>
      </c>
      <c r="L159" s="301">
        <v>811926.6</v>
      </c>
      <c r="M159" s="301">
        <v>7385.9</v>
      </c>
      <c r="N159" s="301">
        <v>162168.5</v>
      </c>
      <c r="O159" s="301">
        <v>-154782.6</v>
      </c>
      <c r="P159" s="298">
        <v>0</v>
      </c>
      <c r="Q159" s="298">
        <v>0</v>
      </c>
      <c r="R159" s="298">
        <v>0</v>
      </c>
      <c r="S159" s="298">
        <v>0</v>
      </c>
      <c r="T159" s="298">
        <v>0</v>
      </c>
      <c r="U159" s="301">
        <v>-154782.6</v>
      </c>
      <c r="V159" s="302">
        <f t="shared" si="5"/>
        <v>1300.3662815931887</v>
      </c>
      <c r="W159" s="303">
        <v>624383</v>
      </c>
    </row>
    <row r="160" spans="1:23">
      <c r="A160" s="296">
        <v>156</v>
      </c>
      <c r="B160" s="297">
        <v>2059312</v>
      </c>
      <c r="C160" s="305" t="s">
        <v>456</v>
      </c>
      <c r="D160" s="299">
        <v>239</v>
      </c>
      <c r="E160" s="296" t="s">
        <v>45</v>
      </c>
      <c r="F160" s="300">
        <v>3705729.3</v>
      </c>
      <c r="G160" s="300">
        <v>321590.09999999998</v>
      </c>
      <c r="H160" s="300">
        <v>4027319.4</v>
      </c>
      <c r="I160" s="301">
        <v>1341217.3999999999</v>
      </c>
      <c r="J160" s="301">
        <v>3032173.8</v>
      </c>
      <c r="K160" s="301">
        <v>4373391.2</v>
      </c>
      <c r="L160" s="301">
        <v>-346071.8</v>
      </c>
      <c r="M160" s="301">
        <v>52773.2</v>
      </c>
      <c r="N160" s="301">
        <v>31322.3</v>
      </c>
      <c r="O160" s="301">
        <v>21450.9</v>
      </c>
      <c r="P160" s="298">
        <v>1</v>
      </c>
      <c r="Q160" s="298">
        <v>190664.9</v>
      </c>
      <c r="R160" s="298">
        <v>-0.4</v>
      </c>
      <c r="S160" s="298">
        <v>0</v>
      </c>
      <c r="T160" s="298">
        <v>0</v>
      </c>
      <c r="U160" s="301">
        <v>-169213.4</v>
      </c>
      <c r="V160" s="302">
        <f t="shared" si="5"/>
        <v>-1810.1883042159222</v>
      </c>
      <c r="W160" s="303">
        <v>191180</v>
      </c>
    </row>
    <row r="161" spans="1:23">
      <c r="A161" s="296">
        <v>157</v>
      </c>
      <c r="B161" s="297">
        <v>2054787</v>
      </c>
      <c r="C161" s="305" t="s">
        <v>822</v>
      </c>
      <c r="D161" s="299">
        <v>524</v>
      </c>
      <c r="E161" s="296" t="s">
        <v>87</v>
      </c>
      <c r="F161" s="300">
        <v>2324388.7999999998</v>
      </c>
      <c r="G161" s="300">
        <v>11975768.1</v>
      </c>
      <c r="H161" s="300">
        <v>14300156.9</v>
      </c>
      <c r="I161" s="301">
        <v>81066.100000000006</v>
      </c>
      <c r="J161" s="301">
        <v>206531.6</v>
      </c>
      <c r="K161" s="301">
        <v>287597.7</v>
      </c>
      <c r="L161" s="301">
        <v>14012559.199999999</v>
      </c>
      <c r="M161" s="301">
        <v>274462.59999999998</v>
      </c>
      <c r="N161" s="301">
        <v>54355.9</v>
      </c>
      <c r="O161" s="301">
        <v>220106.7</v>
      </c>
      <c r="P161" s="298">
        <v>102.4</v>
      </c>
      <c r="Q161" s="298">
        <v>273937.59999999998</v>
      </c>
      <c r="R161" s="298">
        <v>-144785</v>
      </c>
      <c r="S161" s="298">
        <v>0</v>
      </c>
      <c r="T161" s="298">
        <v>10.199999999999999</v>
      </c>
      <c r="U161" s="301">
        <v>-198523.7</v>
      </c>
      <c r="V161" s="302">
        <f t="shared" si="5"/>
        <v>1019.0952145454546</v>
      </c>
      <c r="W161" s="303">
        <v>13750000</v>
      </c>
    </row>
    <row r="162" spans="1:23">
      <c r="A162" s="296">
        <v>158</v>
      </c>
      <c r="B162" s="297">
        <v>2059134</v>
      </c>
      <c r="C162" s="305" t="s">
        <v>271</v>
      </c>
      <c r="D162" s="304">
        <v>510</v>
      </c>
      <c r="E162" s="321" t="s">
        <v>166</v>
      </c>
      <c r="F162" s="300">
        <v>1192716.8999999999</v>
      </c>
      <c r="G162" s="300">
        <v>2992544.7</v>
      </c>
      <c r="H162" s="300">
        <v>4185261.6</v>
      </c>
      <c r="I162" s="300">
        <v>1055619.3</v>
      </c>
      <c r="J162" s="300"/>
      <c r="K162" s="305">
        <v>1055619.3</v>
      </c>
      <c r="L162" s="300">
        <v>3129642.3</v>
      </c>
      <c r="M162" s="300">
        <v>961677.1</v>
      </c>
      <c r="N162" s="300"/>
      <c r="O162" s="305">
        <v>0</v>
      </c>
      <c r="P162" s="300">
        <v>32701.9</v>
      </c>
      <c r="Q162" s="310">
        <v>1191899</v>
      </c>
      <c r="R162" s="309">
        <v>-7151.3</v>
      </c>
      <c r="S162" s="300"/>
      <c r="T162" s="300">
        <v>3026.7</v>
      </c>
      <c r="U162" s="300">
        <v>-207698</v>
      </c>
      <c r="V162" s="308">
        <f t="shared" si="5"/>
        <v>13.53031553846504</v>
      </c>
      <c r="W162" s="303">
        <v>231305936</v>
      </c>
    </row>
    <row r="163" spans="1:23">
      <c r="A163" s="296">
        <v>159</v>
      </c>
      <c r="B163" s="297">
        <v>2050463</v>
      </c>
      <c r="C163" s="305" t="s">
        <v>914</v>
      </c>
      <c r="D163" s="299">
        <v>359</v>
      </c>
      <c r="E163" s="296" t="s">
        <v>54</v>
      </c>
      <c r="F163" s="300">
        <v>1805378.2</v>
      </c>
      <c r="G163" s="300">
        <v>731775.8</v>
      </c>
      <c r="H163" s="300">
        <v>2537154</v>
      </c>
      <c r="I163" s="301">
        <v>990384.3</v>
      </c>
      <c r="J163" s="298">
        <v>0</v>
      </c>
      <c r="K163" s="301">
        <v>990384.3</v>
      </c>
      <c r="L163" s="301">
        <v>1546769.7</v>
      </c>
      <c r="M163" s="301">
        <v>158195.4</v>
      </c>
      <c r="N163" s="301">
        <v>121439</v>
      </c>
      <c r="O163" s="301">
        <v>36756.400000000001</v>
      </c>
      <c r="P163" s="298">
        <v>1427.2</v>
      </c>
      <c r="Q163" s="298">
        <v>292137.8</v>
      </c>
      <c r="R163" s="298">
        <v>1301.9000000000001</v>
      </c>
      <c r="S163" s="298">
        <v>0</v>
      </c>
      <c r="T163" s="298">
        <v>142.69999999999999</v>
      </c>
      <c r="U163" s="301">
        <v>-252795</v>
      </c>
      <c r="V163" s="302">
        <f t="shared" si="5"/>
        <v>8373.4548486111635</v>
      </c>
      <c r="W163" s="303">
        <v>184723</v>
      </c>
    </row>
    <row r="164" spans="1:23">
      <c r="A164" s="296">
        <v>160</v>
      </c>
      <c r="B164" s="297">
        <v>2068478</v>
      </c>
      <c r="C164" s="305" t="s">
        <v>260</v>
      </c>
      <c r="D164" s="299">
        <v>513</v>
      </c>
      <c r="E164" s="296" t="s">
        <v>126</v>
      </c>
      <c r="F164" s="300">
        <v>1940850.5</v>
      </c>
      <c r="G164" s="300">
        <v>10480889.1</v>
      </c>
      <c r="H164" s="300">
        <v>12421739.6</v>
      </c>
      <c r="I164" s="301">
        <v>9525431.3000000007</v>
      </c>
      <c r="J164" s="301">
        <v>356654.1</v>
      </c>
      <c r="K164" s="301">
        <v>9882085.4000000004</v>
      </c>
      <c r="L164" s="301">
        <v>2539654.2000000002</v>
      </c>
      <c r="M164" s="301">
        <v>1855394.9</v>
      </c>
      <c r="N164" s="301">
        <v>3097890.6</v>
      </c>
      <c r="O164" s="301">
        <v>-1242495.7</v>
      </c>
      <c r="P164" s="298">
        <v>1518898.4</v>
      </c>
      <c r="Q164" s="298">
        <v>408258.4</v>
      </c>
      <c r="R164" s="298">
        <v>14.1</v>
      </c>
      <c r="S164" s="301">
        <v>-131125.1</v>
      </c>
      <c r="T164" s="298">
        <v>128.9</v>
      </c>
      <c r="U164" s="301">
        <v>-263095.59999999998</v>
      </c>
      <c r="V164" s="302">
        <f t="shared" si="5"/>
        <v>33.296023598820064</v>
      </c>
      <c r="W164" s="303">
        <v>76275000</v>
      </c>
    </row>
    <row r="165" spans="1:23">
      <c r="A165" s="296">
        <v>161</v>
      </c>
      <c r="B165" s="297">
        <v>2049929</v>
      </c>
      <c r="C165" s="305" t="s">
        <v>384</v>
      </c>
      <c r="D165" s="299">
        <v>191</v>
      </c>
      <c r="E165" s="296" t="s">
        <v>115</v>
      </c>
      <c r="F165" s="300">
        <v>37225826.600000001</v>
      </c>
      <c r="G165" s="300">
        <v>24287431.399999999</v>
      </c>
      <c r="H165" s="300">
        <v>61513258</v>
      </c>
      <c r="I165" s="301">
        <v>50632211.200000003</v>
      </c>
      <c r="J165" s="301">
        <v>137895.9</v>
      </c>
      <c r="K165" s="301">
        <v>50770107.100000001</v>
      </c>
      <c r="L165" s="301">
        <v>10743150.9</v>
      </c>
      <c r="M165" s="301">
        <v>5830</v>
      </c>
      <c r="N165" s="298">
        <v>15.3</v>
      </c>
      <c r="O165" s="301">
        <v>5814.7</v>
      </c>
      <c r="P165" s="298">
        <v>97022.6</v>
      </c>
      <c r="Q165" s="298">
        <v>379725.4</v>
      </c>
      <c r="R165" s="298">
        <v>0</v>
      </c>
      <c r="S165" s="298">
        <v>0</v>
      </c>
      <c r="T165" s="298">
        <v>733.9</v>
      </c>
      <c r="U165" s="301">
        <v>-277622</v>
      </c>
      <c r="V165" s="302">
        <f t="shared" si="5"/>
        <v>3087.7156743271676</v>
      </c>
      <c r="W165" s="303">
        <v>3479320</v>
      </c>
    </row>
    <row r="166" spans="1:23">
      <c r="A166" s="296">
        <v>162</v>
      </c>
      <c r="B166" s="297">
        <v>2069075</v>
      </c>
      <c r="C166" s="305" t="s">
        <v>266</v>
      </c>
      <c r="D166" s="299">
        <v>502</v>
      </c>
      <c r="E166" s="296" t="s">
        <v>137</v>
      </c>
      <c r="F166" s="300">
        <v>2845643.2</v>
      </c>
      <c r="G166" s="300">
        <v>53815049.299999997</v>
      </c>
      <c r="H166" s="300">
        <v>56660692.5</v>
      </c>
      <c r="I166" s="301">
        <v>774719.7</v>
      </c>
      <c r="J166" s="301">
        <v>523157</v>
      </c>
      <c r="K166" s="301">
        <v>1297876.7</v>
      </c>
      <c r="L166" s="301">
        <v>55362815.799999997</v>
      </c>
      <c r="M166" s="301">
        <v>11933623.199999999</v>
      </c>
      <c r="N166" s="301">
        <v>10945290.199999999</v>
      </c>
      <c r="O166" s="301">
        <v>988333</v>
      </c>
      <c r="P166" s="298">
        <v>87324.6</v>
      </c>
      <c r="Q166" s="298">
        <v>1351439</v>
      </c>
      <c r="R166" s="298">
        <v>-34704.300000000003</v>
      </c>
      <c r="S166" s="301">
        <v>-54691</v>
      </c>
      <c r="T166" s="298">
        <v>763.5</v>
      </c>
      <c r="U166" s="301">
        <v>-365940.2</v>
      </c>
      <c r="V166" s="302">
        <f t="shared" si="5"/>
        <v>759.91686086844084</v>
      </c>
      <c r="W166" s="303">
        <v>72853780</v>
      </c>
    </row>
    <row r="167" spans="1:23">
      <c r="A167" s="296">
        <v>163</v>
      </c>
      <c r="B167" s="297">
        <v>2041022</v>
      </c>
      <c r="C167" s="305" t="s">
        <v>284</v>
      </c>
      <c r="D167" s="299">
        <v>506</v>
      </c>
      <c r="E167" s="296" t="s">
        <v>142</v>
      </c>
      <c r="F167" s="300">
        <v>9339121.1999999993</v>
      </c>
      <c r="G167" s="300">
        <v>35702793.399999999</v>
      </c>
      <c r="H167" s="300">
        <v>45041914.600000001</v>
      </c>
      <c r="I167" s="301">
        <v>7391192.5</v>
      </c>
      <c r="J167" s="301">
        <v>4210813.8</v>
      </c>
      <c r="K167" s="301">
        <v>11602006.300000001</v>
      </c>
      <c r="L167" s="301">
        <v>33439908.300000001</v>
      </c>
      <c r="M167" s="301">
        <v>7877777</v>
      </c>
      <c r="N167" s="301">
        <v>5109082.5999999996</v>
      </c>
      <c r="O167" s="301">
        <v>2768694.4</v>
      </c>
      <c r="P167" s="298">
        <v>60645.3</v>
      </c>
      <c r="Q167" s="298">
        <v>3391002.9</v>
      </c>
      <c r="R167" s="298">
        <v>-1596.1</v>
      </c>
      <c r="S167" s="301">
        <v>141141.5</v>
      </c>
      <c r="T167" s="301">
        <v>1598.1</v>
      </c>
      <c r="U167" s="301">
        <v>-423715.9</v>
      </c>
      <c r="V167" s="302">
        <f t="shared" si="5"/>
        <v>2780.8604674486251</v>
      </c>
      <c r="W167" s="303">
        <v>12025022</v>
      </c>
    </row>
    <row r="168" spans="1:23">
      <c r="A168" s="296">
        <v>164</v>
      </c>
      <c r="B168" s="297">
        <v>2041936</v>
      </c>
      <c r="C168" s="305" t="s">
        <v>906</v>
      </c>
      <c r="D168" s="299">
        <v>309</v>
      </c>
      <c r="E168" s="296" t="s">
        <v>51</v>
      </c>
      <c r="F168" s="300">
        <v>8472635.5</v>
      </c>
      <c r="G168" s="300">
        <v>59069314.5</v>
      </c>
      <c r="H168" s="300">
        <v>67541950</v>
      </c>
      <c r="I168" s="301">
        <v>32596602.5</v>
      </c>
      <c r="J168" s="301">
        <v>14827802.1</v>
      </c>
      <c r="K168" s="301">
        <v>47424404.600000001</v>
      </c>
      <c r="L168" s="301">
        <v>20117545.399999999</v>
      </c>
      <c r="M168" s="301">
        <v>27630110.699999999</v>
      </c>
      <c r="N168" s="301">
        <v>25377816.899999999</v>
      </c>
      <c r="O168" s="301">
        <v>2252293.7999999998</v>
      </c>
      <c r="P168" s="298">
        <v>396322.6</v>
      </c>
      <c r="Q168" s="298">
        <v>2691301.2</v>
      </c>
      <c r="R168" s="298">
        <v>-417449.4</v>
      </c>
      <c r="S168" s="298">
        <v>0</v>
      </c>
      <c r="T168" s="301">
        <v>47566</v>
      </c>
      <c r="U168" s="301">
        <v>-507700.2</v>
      </c>
      <c r="V168" s="302">
        <f t="shared" si="5"/>
        <v>1978.0793220063001</v>
      </c>
      <c r="W168" s="303">
        <v>10170242</v>
      </c>
    </row>
    <row r="169" spans="1:23">
      <c r="A169" s="296">
        <v>165</v>
      </c>
      <c r="B169" s="297">
        <v>2050609</v>
      </c>
      <c r="C169" s="305" t="s">
        <v>524</v>
      </c>
      <c r="D169" s="299">
        <v>508</v>
      </c>
      <c r="E169" s="296" t="s">
        <v>131</v>
      </c>
      <c r="F169" s="300">
        <v>6313087</v>
      </c>
      <c r="G169" s="300">
        <v>77535377.5</v>
      </c>
      <c r="H169" s="300">
        <v>83848464.5</v>
      </c>
      <c r="I169" s="301">
        <v>7011704.2000000002</v>
      </c>
      <c r="J169" s="301">
        <v>13054612.5</v>
      </c>
      <c r="K169" s="301">
        <v>20066316.699999999</v>
      </c>
      <c r="L169" s="301">
        <v>63782147.799999997</v>
      </c>
      <c r="M169" s="301">
        <v>39429975.299999997</v>
      </c>
      <c r="N169" s="301">
        <v>31012131.399999999</v>
      </c>
      <c r="O169" s="301">
        <v>8417843.9000000004</v>
      </c>
      <c r="P169" s="298">
        <v>651141.1</v>
      </c>
      <c r="Q169" s="298">
        <v>9643661.8000000007</v>
      </c>
      <c r="R169" s="298">
        <v>631.79999999999995</v>
      </c>
      <c r="S169" s="298">
        <v>0</v>
      </c>
      <c r="T169" s="301">
        <v>10077.299999999999</v>
      </c>
      <c r="U169" s="301">
        <v>-584122.30000000005</v>
      </c>
      <c r="V169" s="302">
        <f t="shared" si="5"/>
        <v>6141.6885280819197</v>
      </c>
      <c r="W169" s="303">
        <v>10385116</v>
      </c>
    </row>
    <row r="170" spans="1:23">
      <c r="A170" s="296">
        <v>166</v>
      </c>
      <c r="B170" s="297">
        <v>2059487</v>
      </c>
      <c r="C170" s="305" t="s">
        <v>288</v>
      </c>
      <c r="D170" s="299">
        <v>499</v>
      </c>
      <c r="E170" s="296" t="s">
        <v>78</v>
      </c>
      <c r="F170" s="300">
        <v>6771569.0999999996</v>
      </c>
      <c r="G170" s="300">
        <v>86370368.700000003</v>
      </c>
      <c r="H170" s="300">
        <v>93141937.799999997</v>
      </c>
      <c r="I170" s="301">
        <v>8045055</v>
      </c>
      <c r="J170" s="298">
        <v>295.5</v>
      </c>
      <c r="K170" s="301">
        <v>8045350.5</v>
      </c>
      <c r="L170" s="301">
        <v>85096587.299999997</v>
      </c>
      <c r="M170" s="301">
        <v>18964874.399999999</v>
      </c>
      <c r="N170" s="301">
        <v>17412263.199999999</v>
      </c>
      <c r="O170" s="301">
        <v>1552611.2</v>
      </c>
      <c r="P170" s="298">
        <v>164104.5</v>
      </c>
      <c r="Q170" s="298">
        <v>2391228.9</v>
      </c>
      <c r="R170" s="298">
        <v>0</v>
      </c>
      <c r="S170" s="298">
        <v>0</v>
      </c>
      <c r="T170" s="301">
        <v>1787.1</v>
      </c>
      <c r="U170" s="301">
        <v>-676300.3</v>
      </c>
      <c r="V170" s="302">
        <f t="shared" si="5"/>
        <v>437.57180495483505</v>
      </c>
      <c r="W170" s="303">
        <v>194474567</v>
      </c>
    </row>
    <row r="171" spans="1:23">
      <c r="A171" s="296">
        <v>167</v>
      </c>
      <c r="B171" s="297">
        <v>2004232</v>
      </c>
      <c r="C171" s="305" t="s">
        <v>424</v>
      </c>
      <c r="D171" s="304">
        <v>522</v>
      </c>
      <c r="E171" s="321" t="s">
        <v>122</v>
      </c>
      <c r="F171" s="300">
        <v>16199567.800000001</v>
      </c>
      <c r="G171" s="306">
        <v>4797040.5999999996</v>
      </c>
      <c r="H171" s="300">
        <v>20996608.399999999</v>
      </c>
      <c r="I171" s="306">
        <v>780204.4</v>
      </c>
      <c r="J171" s="306">
        <v>3720864</v>
      </c>
      <c r="K171" s="300">
        <v>4501068.4000000004</v>
      </c>
      <c r="L171" s="306">
        <v>16495540</v>
      </c>
      <c r="M171" s="300">
        <v>621672.4</v>
      </c>
      <c r="N171" s="300"/>
      <c r="O171" s="300"/>
      <c r="P171" s="306">
        <v>159355.5</v>
      </c>
      <c r="Q171" s="300">
        <v>1335221.5</v>
      </c>
      <c r="R171" s="305">
        <v>-18430.5</v>
      </c>
      <c r="S171" s="300">
        <v>-119390.1</v>
      </c>
      <c r="T171" s="306">
        <v>4596.1000000000004</v>
      </c>
      <c r="U171" s="300">
        <v>-696610.3</v>
      </c>
      <c r="V171" s="308">
        <f t="shared" ref="V171:V202" si="6">(L171/W171)*1000</f>
        <v>970.32588235294111</v>
      </c>
      <c r="W171" s="303">
        <v>17000000</v>
      </c>
    </row>
    <row r="172" spans="1:23">
      <c r="A172" s="296">
        <v>168</v>
      </c>
      <c r="B172" s="297">
        <v>2066742</v>
      </c>
      <c r="C172" s="305" t="s">
        <v>230</v>
      </c>
      <c r="D172" s="299">
        <v>507</v>
      </c>
      <c r="E172" s="296" t="s">
        <v>125</v>
      </c>
      <c r="F172" s="300">
        <v>4646588.8</v>
      </c>
      <c r="G172" s="300">
        <v>117619295.5</v>
      </c>
      <c r="H172" s="300">
        <v>122265884.3</v>
      </c>
      <c r="I172" s="301">
        <v>2528657.5</v>
      </c>
      <c r="J172" s="301">
        <v>1549593.7</v>
      </c>
      <c r="K172" s="301">
        <v>4078251.2</v>
      </c>
      <c r="L172" s="301">
        <v>118187633.09999999</v>
      </c>
      <c r="M172" s="301">
        <v>42979048.200000003</v>
      </c>
      <c r="N172" s="301">
        <v>42932090.799999997</v>
      </c>
      <c r="O172" s="301">
        <v>46957.4</v>
      </c>
      <c r="P172" s="298">
        <v>900391.3</v>
      </c>
      <c r="Q172" s="298">
        <v>1942193.7</v>
      </c>
      <c r="R172" s="298">
        <v>-1222.9000000000001</v>
      </c>
      <c r="S172" s="298">
        <v>0</v>
      </c>
      <c r="T172" s="301">
        <v>2378.5</v>
      </c>
      <c r="U172" s="301">
        <v>-998446.4</v>
      </c>
      <c r="V172" s="302">
        <f t="shared" si="6"/>
        <v>2648.1656531481062</v>
      </c>
      <c r="W172" s="303">
        <v>44630000</v>
      </c>
    </row>
    <row r="173" spans="1:23">
      <c r="A173" s="296">
        <v>169</v>
      </c>
      <c r="B173" s="297">
        <v>2688476</v>
      </c>
      <c r="C173" s="305" t="s">
        <v>459</v>
      </c>
      <c r="D173" s="299">
        <v>492</v>
      </c>
      <c r="E173" s="296" t="s">
        <v>121</v>
      </c>
      <c r="F173" s="300">
        <v>126705.3</v>
      </c>
      <c r="G173" s="300">
        <v>13961441.4</v>
      </c>
      <c r="H173" s="300">
        <v>14088146.699999999</v>
      </c>
      <c r="I173" s="301">
        <v>15588026.1</v>
      </c>
      <c r="J173" s="301">
        <v>29690984</v>
      </c>
      <c r="K173" s="301">
        <v>45279010.100000001</v>
      </c>
      <c r="L173" s="301">
        <v>-31190863.399999999</v>
      </c>
      <c r="M173" s="301">
        <v>536233.5</v>
      </c>
      <c r="N173" s="301">
        <v>250610.7</v>
      </c>
      <c r="O173" s="301">
        <v>285622.8</v>
      </c>
      <c r="P173" s="298">
        <v>288814.5</v>
      </c>
      <c r="Q173" s="298">
        <v>1423582.4</v>
      </c>
      <c r="R173" s="298">
        <v>-152857.4</v>
      </c>
      <c r="S173" s="298">
        <v>0</v>
      </c>
      <c r="T173" s="298">
        <v>53.2</v>
      </c>
      <c r="U173" s="301">
        <v>-1002055.7</v>
      </c>
      <c r="V173" s="302">
        <f t="shared" si="6"/>
        <v>-1636.2780661921468</v>
      </c>
      <c r="W173" s="303">
        <v>19062080</v>
      </c>
    </row>
    <row r="174" spans="1:23">
      <c r="A174" s="296">
        <v>170</v>
      </c>
      <c r="B174" s="297">
        <v>2076578</v>
      </c>
      <c r="C174" s="305" t="s">
        <v>804</v>
      </c>
      <c r="D174" s="299">
        <v>195</v>
      </c>
      <c r="E174" s="296" t="s">
        <v>38</v>
      </c>
      <c r="F174" s="300">
        <v>12883831.6</v>
      </c>
      <c r="G174" s="300">
        <v>29416080.399999999</v>
      </c>
      <c r="H174" s="300">
        <v>42299912</v>
      </c>
      <c r="I174" s="301">
        <v>11448727</v>
      </c>
      <c r="J174" s="301">
        <v>885000</v>
      </c>
      <c r="K174" s="301">
        <v>12333727</v>
      </c>
      <c r="L174" s="301">
        <v>29966185</v>
      </c>
      <c r="M174" s="301">
        <v>2753595.9</v>
      </c>
      <c r="N174" s="301">
        <v>2152993.9</v>
      </c>
      <c r="O174" s="301">
        <v>600602</v>
      </c>
      <c r="P174" s="298">
        <v>110622.5</v>
      </c>
      <c r="Q174" s="298">
        <v>1988011.6</v>
      </c>
      <c r="R174" s="298">
        <v>-6427.7</v>
      </c>
      <c r="S174" s="298">
        <v>0</v>
      </c>
      <c r="T174" s="298">
        <v>396</v>
      </c>
      <c r="U174" s="301">
        <v>-1283610.8</v>
      </c>
      <c r="V174" s="302">
        <f t="shared" si="6"/>
        <v>227.79744959045212</v>
      </c>
      <c r="W174" s="303">
        <v>131547500</v>
      </c>
    </row>
    <row r="175" spans="1:23">
      <c r="A175" s="296">
        <v>171</v>
      </c>
      <c r="B175" s="297">
        <v>2012162</v>
      </c>
      <c r="C175" s="305" t="s">
        <v>242</v>
      </c>
      <c r="D175" s="299">
        <v>505</v>
      </c>
      <c r="E175" s="296" t="s">
        <v>132</v>
      </c>
      <c r="F175" s="300">
        <v>2309046.2000000002</v>
      </c>
      <c r="G175" s="300">
        <v>29691636.5</v>
      </c>
      <c r="H175" s="300">
        <v>32000682.699999999</v>
      </c>
      <c r="I175" s="301">
        <v>1940762.8</v>
      </c>
      <c r="J175" s="301">
        <v>278404.7</v>
      </c>
      <c r="K175" s="301">
        <v>2219167.5</v>
      </c>
      <c r="L175" s="301">
        <v>29781515.199999999</v>
      </c>
      <c r="M175" s="301">
        <v>2699880.9</v>
      </c>
      <c r="N175" s="301">
        <v>3140617.6</v>
      </c>
      <c r="O175" s="301">
        <v>-440736.7</v>
      </c>
      <c r="P175" s="298">
        <v>50444.9</v>
      </c>
      <c r="Q175" s="298">
        <v>1092582.5</v>
      </c>
      <c r="R175" s="298">
        <v>0</v>
      </c>
      <c r="S175" s="298">
        <v>0</v>
      </c>
      <c r="T175" s="298">
        <v>0</v>
      </c>
      <c r="U175" s="301">
        <v>-1482874.3</v>
      </c>
      <c r="V175" s="302">
        <f t="shared" si="6"/>
        <v>879.95623725746077</v>
      </c>
      <c r="W175" s="303">
        <v>33844314</v>
      </c>
    </row>
    <row r="176" spans="1:23">
      <c r="A176" s="296">
        <v>172</v>
      </c>
      <c r="B176" s="297">
        <v>2035987</v>
      </c>
      <c r="C176" s="305" t="s">
        <v>343</v>
      </c>
      <c r="D176" s="299">
        <v>461</v>
      </c>
      <c r="E176" s="296" t="s">
        <v>71</v>
      </c>
      <c r="F176" s="300">
        <v>4579732.8</v>
      </c>
      <c r="G176" s="300">
        <v>4119164.6</v>
      </c>
      <c r="H176" s="300">
        <v>8698897.4000000004</v>
      </c>
      <c r="I176" s="301">
        <v>584104.69999999995</v>
      </c>
      <c r="J176" s="298">
        <v>0</v>
      </c>
      <c r="K176" s="301">
        <v>584104.69999999995</v>
      </c>
      <c r="L176" s="301">
        <v>8114792.7000000002</v>
      </c>
      <c r="M176" s="301">
        <v>1877167</v>
      </c>
      <c r="N176" s="301">
        <v>3294735.8</v>
      </c>
      <c r="O176" s="301">
        <v>-1417568.8</v>
      </c>
      <c r="P176" s="298">
        <v>128918.2</v>
      </c>
      <c r="Q176" s="298">
        <v>316508.90000000002</v>
      </c>
      <c r="R176" s="298">
        <v>365.5</v>
      </c>
      <c r="S176" s="298">
        <v>0</v>
      </c>
      <c r="T176" s="298">
        <v>0</v>
      </c>
      <c r="U176" s="301">
        <v>-1604794</v>
      </c>
      <c r="V176" s="302">
        <f t="shared" si="6"/>
        <v>2575.0586741234742</v>
      </c>
      <c r="W176" s="303">
        <v>3151304</v>
      </c>
    </row>
    <row r="177" spans="1:23" s="15" customFormat="1">
      <c r="A177" s="321">
        <v>173</v>
      </c>
      <c r="B177" s="311">
        <v>2001799</v>
      </c>
      <c r="C177" s="305" t="s">
        <v>562</v>
      </c>
      <c r="D177" s="304">
        <v>326</v>
      </c>
      <c r="E177" s="321" t="s">
        <v>160</v>
      </c>
      <c r="F177" s="300">
        <v>21753181.5</v>
      </c>
      <c r="G177" s="300">
        <v>54746513.100000001</v>
      </c>
      <c r="H177" s="300">
        <v>76499694.599999994</v>
      </c>
      <c r="I177" s="300">
        <v>3250147.5</v>
      </c>
      <c r="J177" s="300">
        <v>11406864.800000001</v>
      </c>
      <c r="K177" s="300">
        <v>14657012.300000001</v>
      </c>
      <c r="L177" s="300">
        <v>61842682.299999997</v>
      </c>
      <c r="M177" s="300">
        <v>311434.5</v>
      </c>
      <c r="N177" s="305">
        <v>0</v>
      </c>
      <c r="O177" s="300">
        <v>311434.5</v>
      </c>
      <c r="P177" s="305">
        <v>1024660.8</v>
      </c>
      <c r="Q177" s="305">
        <v>3335625.5</v>
      </c>
      <c r="R177" s="305">
        <v>210840.9</v>
      </c>
      <c r="S177" s="305">
        <v>0</v>
      </c>
      <c r="T177" s="300">
        <v>14758.7</v>
      </c>
      <c r="U177" s="300">
        <v>-1803448</v>
      </c>
      <c r="V177" s="308">
        <f t="shared" si="6"/>
        <v>2161.2537181195262</v>
      </c>
      <c r="W177" s="313">
        <v>28614263</v>
      </c>
    </row>
    <row r="178" spans="1:23">
      <c r="A178" s="296">
        <v>174</v>
      </c>
      <c r="B178" s="297">
        <v>2001969</v>
      </c>
      <c r="C178" s="305" t="s">
        <v>2630</v>
      </c>
      <c r="D178" s="299">
        <v>518</v>
      </c>
      <c r="E178" s="296" t="s">
        <v>83</v>
      </c>
      <c r="F178" s="300">
        <v>56095170.100000001</v>
      </c>
      <c r="G178" s="300">
        <v>266044562.80000001</v>
      </c>
      <c r="H178" s="300">
        <v>322139732.89999998</v>
      </c>
      <c r="I178" s="301">
        <v>63127262.200000003</v>
      </c>
      <c r="J178" s="301">
        <v>43479768.200000003</v>
      </c>
      <c r="K178" s="301">
        <v>106607030.40000001</v>
      </c>
      <c r="L178" s="301">
        <v>215532702.5</v>
      </c>
      <c r="M178" s="301">
        <v>31866673.100000001</v>
      </c>
      <c r="N178" s="301">
        <v>28051990.800000001</v>
      </c>
      <c r="O178" s="301">
        <v>3814682.3</v>
      </c>
      <c r="P178" s="298">
        <v>371097.7</v>
      </c>
      <c r="Q178" s="298">
        <v>6894027.7999999998</v>
      </c>
      <c r="R178" s="298">
        <v>169.6</v>
      </c>
      <c r="S178" s="298">
        <v>0</v>
      </c>
      <c r="T178" s="301">
        <v>1624.2</v>
      </c>
      <c r="U178" s="301">
        <v>-2709702.4</v>
      </c>
      <c r="V178" s="302">
        <f t="shared" si="6"/>
        <v>74.91992449927956</v>
      </c>
      <c r="W178" s="303">
        <v>2876840893</v>
      </c>
    </row>
    <row r="179" spans="1:23">
      <c r="A179" s="296">
        <v>175</v>
      </c>
      <c r="B179" s="297"/>
      <c r="C179" s="305" t="s">
        <v>326</v>
      </c>
      <c r="D179" s="299">
        <v>460</v>
      </c>
      <c r="E179" s="296" t="s">
        <v>70</v>
      </c>
      <c r="F179" s="300">
        <v>23630941.600000001</v>
      </c>
      <c r="G179" s="300">
        <v>100581321.7</v>
      </c>
      <c r="H179" s="300">
        <v>124212263.3</v>
      </c>
      <c r="I179" s="301">
        <v>46235743.5</v>
      </c>
      <c r="J179" s="301">
        <v>76129458.099999994</v>
      </c>
      <c r="K179" s="301">
        <v>122365201.59999999</v>
      </c>
      <c r="L179" s="301">
        <v>1847061.7</v>
      </c>
      <c r="M179" s="301">
        <v>25878638.100000001</v>
      </c>
      <c r="N179" s="301">
        <v>25634586.600000001</v>
      </c>
      <c r="O179" s="301">
        <v>244051.5</v>
      </c>
      <c r="P179" s="298">
        <v>61423.3</v>
      </c>
      <c r="Q179" s="298">
        <v>3139120.1</v>
      </c>
      <c r="R179" s="298">
        <v>-207357.5</v>
      </c>
      <c r="S179" s="298">
        <v>0</v>
      </c>
      <c r="T179" s="301">
        <v>10716.5</v>
      </c>
      <c r="U179" s="301">
        <v>-3051719.3</v>
      </c>
      <c r="V179" s="302">
        <f t="shared" si="6"/>
        <v>137.64422072685792</v>
      </c>
      <c r="W179" s="303">
        <v>13419101</v>
      </c>
    </row>
    <row r="180" spans="1:23">
      <c r="A180" s="322">
        <v>176</v>
      </c>
      <c r="B180" s="323"/>
      <c r="C180" s="305" t="s">
        <v>299</v>
      </c>
      <c r="D180" s="299">
        <v>396</v>
      </c>
      <c r="E180" s="296" t="s">
        <v>61</v>
      </c>
      <c r="F180" s="300">
        <v>45912983.899999999</v>
      </c>
      <c r="G180" s="300">
        <v>127780812.40000001</v>
      </c>
      <c r="H180" s="300">
        <v>173693796.30000001</v>
      </c>
      <c r="I180" s="301">
        <v>118351064.7</v>
      </c>
      <c r="J180" s="301">
        <v>48054863.799999997</v>
      </c>
      <c r="K180" s="301">
        <v>166405928.5</v>
      </c>
      <c r="L180" s="301">
        <v>7287867.7999999998</v>
      </c>
      <c r="M180" s="301">
        <v>67519892.200000003</v>
      </c>
      <c r="N180" s="301">
        <v>67785095.900000006</v>
      </c>
      <c r="O180" s="301">
        <v>-265203.7</v>
      </c>
      <c r="P180" s="298">
        <v>1358517.5</v>
      </c>
      <c r="Q180" s="298">
        <v>6411618.5999999996</v>
      </c>
      <c r="R180" s="298">
        <v>-7062.3</v>
      </c>
      <c r="S180" s="298">
        <v>0</v>
      </c>
      <c r="T180" s="301">
        <v>1432.1</v>
      </c>
      <c r="U180" s="301">
        <v>-5326799.2</v>
      </c>
      <c r="V180" s="302">
        <f t="shared" si="6"/>
        <v>347.46556271562042</v>
      </c>
      <c r="W180" s="303">
        <v>20974360</v>
      </c>
    </row>
    <row r="182" spans="1:23">
      <c r="C182" s="317" t="s">
        <v>2632</v>
      </c>
    </row>
  </sheetData>
  <mergeCells count="7">
    <mergeCell ref="C3:C4"/>
    <mergeCell ref="A3:A4"/>
    <mergeCell ref="F3:L3"/>
    <mergeCell ref="M3:U3"/>
    <mergeCell ref="V3:W3"/>
    <mergeCell ref="E3:E4"/>
    <mergeCell ref="D3:D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U6116"/>
  <sheetViews>
    <sheetView topLeftCell="A7" workbookViewId="0">
      <pane xSplit="3" ySplit="2" topLeftCell="H48" activePane="bottomRight" state="frozen"/>
      <selection activeCell="A7" sqref="A7"/>
      <selection pane="topRight" activeCell="D7" sqref="D7"/>
      <selection pane="bottomLeft" activeCell="A9" sqref="A9"/>
      <selection pane="bottomRight" activeCell="O72" sqref="O72"/>
    </sheetView>
  </sheetViews>
  <sheetFormatPr defaultRowHeight="12"/>
  <cols>
    <col min="1" max="1" width="4.42578125" style="24" customWidth="1"/>
    <col min="2" max="2" width="5.5703125" style="23" customWidth="1"/>
    <col min="3" max="3" width="41.85546875" style="24" customWidth="1"/>
    <col min="4" max="4" width="26" style="24" customWidth="1"/>
    <col min="5" max="5" width="17.7109375" style="24" customWidth="1"/>
    <col min="6" max="6" width="8.140625" style="24" customWidth="1"/>
    <col min="7" max="7" width="10.28515625" style="24" customWidth="1"/>
    <col min="8" max="8" width="33.7109375" style="274" customWidth="1"/>
    <col min="9" max="9" width="5.5703125" style="24" customWidth="1"/>
    <col min="10" max="10" width="8.5703125" style="24" customWidth="1"/>
    <col min="11" max="11" width="5.5703125" style="24" customWidth="1"/>
    <col min="12" max="12" width="5.7109375" style="24" customWidth="1"/>
    <col min="13" max="13" width="18.85546875" style="273" customWidth="1"/>
    <col min="14" max="14" width="14.5703125" style="24" customWidth="1"/>
    <col min="15" max="15" width="17.140625" style="24" customWidth="1"/>
    <col min="16" max="16" width="16" style="26" customWidth="1"/>
    <col min="17" max="17" width="15" style="24" customWidth="1"/>
    <col min="18" max="18" width="13.5703125" style="24" customWidth="1"/>
    <col min="19" max="19" width="10.140625" style="24" customWidth="1"/>
    <col min="20" max="20" width="11.7109375" style="24" customWidth="1"/>
    <col min="21" max="21" width="10.28515625" style="24" customWidth="1"/>
    <col min="22" max="22" width="15.5703125" style="24" customWidth="1"/>
    <col min="23" max="23" width="12.140625" style="24" customWidth="1"/>
    <col min="24" max="24" width="14.140625" style="24" customWidth="1"/>
    <col min="25" max="25" width="13.85546875" style="24" customWidth="1"/>
    <col min="26" max="26" width="12.28515625" style="24" customWidth="1"/>
    <col min="27" max="27" width="9.85546875" style="24" bestFit="1" customWidth="1"/>
    <col min="28" max="28" width="10.42578125" style="24" customWidth="1"/>
    <col min="29" max="29" width="8.85546875" style="24" hidden="1" customWidth="1"/>
    <col min="30" max="30" width="11.140625" style="24" hidden="1" customWidth="1"/>
    <col min="31" max="31" width="13" style="24" customWidth="1"/>
    <col min="32" max="32" width="12" style="24" bestFit="1" customWidth="1"/>
    <col min="33" max="33" width="24.42578125" style="24" customWidth="1"/>
    <col min="34" max="35" width="9.140625" style="24"/>
    <col min="36" max="36" width="11.140625" style="24" bestFit="1" customWidth="1"/>
    <col min="37" max="37" width="12.85546875" style="24" bestFit="1" customWidth="1"/>
    <col min="38" max="38" width="9.140625" style="24"/>
    <col min="39" max="39" width="20.140625" style="24" customWidth="1"/>
    <col min="40" max="40" width="5" style="24" customWidth="1"/>
    <col min="41" max="41" width="9.140625" style="24" hidden="1" customWidth="1"/>
    <col min="42" max="45" width="9.140625" style="24"/>
    <col min="46" max="46" width="10.7109375" style="24" customWidth="1"/>
    <col min="47" max="259" width="9.140625" style="24"/>
    <col min="260" max="260" width="5.5703125" style="24" customWidth="1"/>
    <col min="261" max="261" width="41.85546875" style="24" customWidth="1"/>
    <col min="262" max="262" width="26" style="24" customWidth="1"/>
    <col min="263" max="263" width="17.7109375" style="24" customWidth="1"/>
    <col min="264" max="264" width="8.140625" style="24" customWidth="1"/>
    <col min="265" max="265" width="10.28515625" style="24" customWidth="1"/>
    <col min="266" max="266" width="5.5703125" style="24" customWidth="1"/>
    <col min="267" max="267" width="8.5703125" style="24" customWidth="1"/>
    <col min="268" max="268" width="5.7109375" style="24" customWidth="1"/>
    <col min="269" max="269" width="18.85546875" style="24" customWidth="1"/>
    <col min="270" max="270" width="14.5703125" style="24" customWidth="1"/>
    <col min="271" max="271" width="17.140625" style="24" customWidth="1"/>
    <col min="272" max="272" width="16" style="24" customWidth="1"/>
    <col min="273" max="273" width="15" style="24" customWidth="1"/>
    <col min="274" max="274" width="13.5703125" style="24" customWidth="1"/>
    <col min="275" max="275" width="10.140625" style="24" customWidth="1"/>
    <col min="276" max="276" width="11.7109375" style="24" customWidth="1"/>
    <col min="277" max="277" width="10.28515625" style="24" customWidth="1"/>
    <col min="278" max="278" width="15.5703125" style="24" customWidth="1"/>
    <col min="279" max="279" width="12.140625" style="24" customWidth="1"/>
    <col min="280" max="280" width="14.140625" style="24" customWidth="1"/>
    <col min="281" max="281" width="13.85546875" style="24" customWidth="1"/>
    <col min="282" max="282" width="12.28515625" style="24" customWidth="1"/>
    <col min="283" max="283" width="9.85546875" style="24" bestFit="1" customWidth="1"/>
    <col min="284" max="284" width="10.42578125" style="24" customWidth="1"/>
    <col min="285" max="286" width="0" style="24" hidden="1" customWidth="1"/>
    <col min="287" max="287" width="13" style="24" customWidth="1"/>
    <col min="288" max="288" width="12" style="24" bestFit="1" customWidth="1"/>
    <col min="289" max="289" width="24.42578125" style="24" customWidth="1"/>
    <col min="290" max="291" width="9.140625" style="24"/>
    <col min="292" max="292" width="11.140625" style="24" bestFit="1" customWidth="1"/>
    <col min="293" max="293" width="12.85546875" style="24" bestFit="1" customWidth="1"/>
    <col min="294" max="294" width="9.140625" style="24"/>
    <col min="295" max="295" width="20.140625" style="24" customWidth="1"/>
    <col min="296" max="296" width="5" style="24" customWidth="1"/>
    <col min="297" max="297" width="0" style="24" hidden="1" customWidth="1"/>
    <col min="298" max="301" width="9.140625" style="24"/>
    <col min="302" max="302" width="10.7109375" style="24" customWidth="1"/>
    <col min="303" max="515" width="9.140625" style="24"/>
    <col min="516" max="516" width="5.5703125" style="24" customWidth="1"/>
    <col min="517" max="517" width="41.85546875" style="24" customWidth="1"/>
    <col min="518" max="518" width="26" style="24" customWidth="1"/>
    <col min="519" max="519" width="17.7109375" style="24" customWidth="1"/>
    <col min="520" max="520" width="8.140625" style="24" customWidth="1"/>
    <col min="521" max="521" width="10.28515625" style="24" customWidth="1"/>
    <col min="522" max="522" width="5.5703125" style="24" customWidth="1"/>
    <col min="523" max="523" width="8.5703125" style="24" customWidth="1"/>
    <col min="524" max="524" width="5.7109375" style="24" customWidth="1"/>
    <col min="525" max="525" width="18.85546875" style="24" customWidth="1"/>
    <col min="526" max="526" width="14.5703125" style="24" customWidth="1"/>
    <col min="527" max="527" width="17.140625" style="24" customWidth="1"/>
    <col min="528" max="528" width="16" style="24" customWidth="1"/>
    <col min="529" max="529" width="15" style="24" customWidth="1"/>
    <col min="530" max="530" width="13.5703125" style="24" customWidth="1"/>
    <col min="531" max="531" width="10.140625" style="24" customWidth="1"/>
    <col min="532" max="532" width="11.7109375" style="24" customWidth="1"/>
    <col min="533" max="533" width="10.28515625" style="24" customWidth="1"/>
    <col min="534" max="534" width="15.5703125" style="24" customWidth="1"/>
    <col min="535" max="535" width="12.140625" style="24" customWidth="1"/>
    <col min="536" max="536" width="14.140625" style="24" customWidth="1"/>
    <col min="537" max="537" width="13.85546875" style="24" customWidth="1"/>
    <col min="538" max="538" width="12.28515625" style="24" customWidth="1"/>
    <col min="539" max="539" width="9.85546875" style="24" bestFit="1" customWidth="1"/>
    <col min="540" max="540" width="10.42578125" style="24" customWidth="1"/>
    <col min="541" max="542" width="0" style="24" hidden="1" customWidth="1"/>
    <col min="543" max="543" width="13" style="24" customWidth="1"/>
    <col min="544" max="544" width="12" style="24" bestFit="1" customWidth="1"/>
    <col min="545" max="545" width="24.42578125" style="24" customWidth="1"/>
    <col min="546" max="547" width="9.140625" style="24"/>
    <col min="548" max="548" width="11.140625" style="24" bestFit="1" customWidth="1"/>
    <col min="549" max="549" width="12.85546875" style="24" bestFit="1" customWidth="1"/>
    <col min="550" max="550" width="9.140625" style="24"/>
    <col min="551" max="551" width="20.140625" style="24" customWidth="1"/>
    <col min="552" max="552" width="5" style="24" customWidth="1"/>
    <col min="553" max="553" width="0" style="24" hidden="1" customWidth="1"/>
    <col min="554" max="557" width="9.140625" style="24"/>
    <col min="558" max="558" width="10.7109375" style="24" customWidth="1"/>
    <col min="559" max="771" width="9.140625" style="24"/>
    <col min="772" max="772" width="5.5703125" style="24" customWidth="1"/>
    <col min="773" max="773" width="41.85546875" style="24" customWidth="1"/>
    <col min="774" max="774" width="26" style="24" customWidth="1"/>
    <col min="775" max="775" width="17.7109375" style="24" customWidth="1"/>
    <col min="776" max="776" width="8.140625" style="24" customWidth="1"/>
    <col min="777" max="777" width="10.28515625" style="24" customWidth="1"/>
    <col min="778" max="778" width="5.5703125" style="24" customWidth="1"/>
    <col min="779" max="779" width="8.5703125" style="24" customWidth="1"/>
    <col min="780" max="780" width="5.7109375" style="24" customWidth="1"/>
    <col min="781" max="781" width="18.85546875" style="24" customWidth="1"/>
    <col min="782" max="782" width="14.5703125" style="24" customWidth="1"/>
    <col min="783" max="783" width="17.140625" style="24" customWidth="1"/>
    <col min="784" max="784" width="16" style="24" customWidth="1"/>
    <col min="785" max="785" width="15" style="24" customWidth="1"/>
    <col min="786" max="786" width="13.5703125" style="24" customWidth="1"/>
    <col min="787" max="787" width="10.140625" style="24" customWidth="1"/>
    <col min="788" max="788" width="11.7109375" style="24" customWidth="1"/>
    <col min="789" max="789" width="10.28515625" style="24" customWidth="1"/>
    <col min="790" max="790" width="15.5703125" style="24" customWidth="1"/>
    <col min="791" max="791" width="12.140625" style="24" customWidth="1"/>
    <col min="792" max="792" width="14.140625" style="24" customWidth="1"/>
    <col min="793" max="793" width="13.85546875" style="24" customWidth="1"/>
    <col min="794" max="794" width="12.28515625" style="24" customWidth="1"/>
    <col min="795" max="795" width="9.85546875" style="24" bestFit="1" customWidth="1"/>
    <col min="796" max="796" width="10.42578125" style="24" customWidth="1"/>
    <col min="797" max="798" width="0" style="24" hidden="1" customWidth="1"/>
    <col min="799" max="799" width="13" style="24" customWidth="1"/>
    <col min="800" max="800" width="12" style="24" bestFit="1" customWidth="1"/>
    <col min="801" max="801" width="24.42578125" style="24" customWidth="1"/>
    <col min="802" max="803" width="9.140625" style="24"/>
    <col min="804" max="804" width="11.140625" style="24" bestFit="1" customWidth="1"/>
    <col min="805" max="805" width="12.85546875" style="24" bestFit="1" customWidth="1"/>
    <col min="806" max="806" width="9.140625" style="24"/>
    <col min="807" max="807" width="20.140625" style="24" customWidth="1"/>
    <col min="808" max="808" width="5" style="24" customWidth="1"/>
    <col min="809" max="809" width="0" style="24" hidden="1" customWidth="1"/>
    <col min="810" max="813" width="9.140625" style="24"/>
    <col min="814" max="814" width="10.7109375" style="24" customWidth="1"/>
    <col min="815" max="1027" width="9.140625" style="24"/>
    <col min="1028" max="1028" width="5.5703125" style="24" customWidth="1"/>
    <col min="1029" max="1029" width="41.85546875" style="24" customWidth="1"/>
    <col min="1030" max="1030" width="26" style="24" customWidth="1"/>
    <col min="1031" max="1031" width="17.7109375" style="24" customWidth="1"/>
    <col min="1032" max="1032" width="8.140625" style="24" customWidth="1"/>
    <col min="1033" max="1033" width="10.28515625" style="24" customWidth="1"/>
    <col min="1034" max="1034" width="5.5703125" style="24" customWidth="1"/>
    <col min="1035" max="1035" width="8.5703125" style="24" customWidth="1"/>
    <col min="1036" max="1036" width="5.7109375" style="24" customWidth="1"/>
    <col min="1037" max="1037" width="18.85546875" style="24" customWidth="1"/>
    <col min="1038" max="1038" width="14.5703125" style="24" customWidth="1"/>
    <col min="1039" max="1039" width="17.140625" style="24" customWidth="1"/>
    <col min="1040" max="1040" width="16" style="24" customWidth="1"/>
    <col min="1041" max="1041" width="15" style="24" customWidth="1"/>
    <col min="1042" max="1042" width="13.5703125" style="24" customWidth="1"/>
    <col min="1043" max="1043" width="10.140625" style="24" customWidth="1"/>
    <col min="1044" max="1044" width="11.7109375" style="24" customWidth="1"/>
    <col min="1045" max="1045" width="10.28515625" style="24" customWidth="1"/>
    <col min="1046" max="1046" width="15.5703125" style="24" customWidth="1"/>
    <col min="1047" max="1047" width="12.140625" style="24" customWidth="1"/>
    <col min="1048" max="1048" width="14.140625" style="24" customWidth="1"/>
    <col min="1049" max="1049" width="13.85546875" style="24" customWidth="1"/>
    <col min="1050" max="1050" width="12.28515625" style="24" customWidth="1"/>
    <col min="1051" max="1051" width="9.85546875" style="24" bestFit="1" customWidth="1"/>
    <col min="1052" max="1052" width="10.42578125" style="24" customWidth="1"/>
    <col min="1053" max="1054" width="0" style="24" hidden="1" customWidth="1"/>
    <col min="1055" max="1055" width="13" style="24" customWidth="1"/>
    <col min="1056" max="1056" width="12" style="24" bestFit="1" customWidth="1"/>
    <col min="1057" max="1057" width="24.42578125" style="24" customWidth="1"/>
    <col min="1058" max="1059" width="9.140625" style="24"/>
    <col min="1060" max="1060" width="11.140625" style="24" bestFit="1" customWidth="1"/>
    <col min="1061" max="1061" width="12.85546875" style="24" bestFit="1" customWidth="1"/>
    <col min="1062" max="1062" width="9.140625" style="24"/>
    <col min="1063" max="1063" width="20.140625" style="24" customWidth="1"/>
    <col min="1064" max="1064" width="5" style="24" customWidth="1"/>
    <col min="1065" max="1065" width="0" style="24" hidden="1" customWidth="1"/>
    <col min="1066" max="1069" width="9.140625" style="24"/>
    <col min="1070" max="1070" width="10.7109375" style="24" customWidth="1"/>
    <col min="1071" max="1283" width="9.140625" style="24"/>
    <col min="1284" max="1284" width="5.5703125" style="24" customWidth="1"/>
    <col min="1285" max="1285" width="41.85546875" style="24" customWidth="1"/>
    <col min="1286" max="1286" width="26" style="24" customWidth="1"/>
    <col min="1287" max="1287" width="17.7109375" style="24" customWidth="1"/>
    <col min="1288" max="1288" width="8.140625" style="24" customWidth="1"/>
    <col min="1289" max="1289" width="10.28515625" style="24" customWidth="1"/>
    <col min="1290" max="1290" width="5.5703125" style="24" customWidth="1"/>
    <col min="1291" max="1291" width="8.5703125" style="24" customWidth="1"/>
    <col min="1292" max="1292" width="5.7109375" style="24" customWidth="1"/>
    <col min="1293" max="1293" width="18.85546875" style="24" customWidth="1"/>
    <col min="1294" max="1294" width="14.5703125" style="24" customWidth="1"/>
    <col min="1295" max="1295" width="17.140625" style="24" customWidth="1"/>
    <col min="1296" max="1296" width="16" style="24" customWidth="1"/>
    <col min="1297" max="1297" width="15" style="24" customWidth="1"/>
    <col min="1298" max="1298" width="13.5703125" style="24" customWidth="1"/>
    <col min="1299" max="1299" width="10.140625" style="24" customWidth="1"/>
    <col min="1300" max="1300" width="11.7109375" style="24" customWidth="1"/>
    <col min="1301" max="1301" width="10.28515625" style="24" customWidth="1"/>
    <col min="1302" max="1302" width="15.5703125" style="24" customWidth="1"/>
    <col min="1303" max="1303" width="12.140625" style="24" customWidth="1"/>
    <col min="1304" max="1304" width="14.140625" style="24" customWidth="1"/>
    <col min="1305" max="1305" width="13.85546875" style="24" customWidth="1"/>
    <col min="1306" max="1306" width="12.28515625" style="24" customWidth="1"/>
    <col min="1307" max="1307" width="9.85546875" style="24" bestFit="1" customWidth="1"/>
    <col min="1308" max="1308" width="10.42578125" style="24" customWidth="1"/>
    <col min="1309" max="1310" width="0" style="24" hidden="1" customWidth="1"/>
    <col min="1311" max="1311" width="13" style="24" customWidth="1"/>
    <col min="1312" max="1312" width="12" style="24" bestFit="1" customWidth="1"/>
    <col min="1313" max="1313" width="24.42578125" style="24" customWidth="1"/>
    <col min="1314" max="1315" width="9.140625" style="24"/>
    <col min="1316" max="1316" width="11.140625" style="24" bestFit="1" customWidth="1"/>
    <col min="1317" max="1317" width="12.85546875" style="24" bestFit="1" customWidth="1"/>
    <col min="1318" max="1318" width="9.140625" style="24"/>
    <col min="1319" max="1319" width="20.140625" style="24" customWidth="1"/>
    <col min="1320" max="1320" width="5" style="24" customWidth="1"/>
    <col min="1321" max="1321" width="0" style="24" hidden="1" customWidth="1"/>
    <col min="1322" max="1325" width="9.140625" style="24"/>
    <col min="1326" max="1326" width="10.7109375" style="24" customWidth="1"/>
    <col min="1327" max="1539" width="9.140625" style="24"/>
    <col min="1540" max="1540" width="5.5703125" style="24" customWidth="1"/>
    <col min="1541" max="1541" width="41.85546875" style="24" customWidth="1"/>
    <col min="1542" max="1542" width="26" style="24" customWidth="1"/>
    <col min="1543" max="1543" width="17.7109375" style="24" customWidth="1"/>
    <col min="1544" max="1544" width="8.140625" style="24" customWidth="1"/>
    <col min="1545" max="1545" width="10.28515625" style="24" customWidth="1"/>
    <col min="1546" max="1546" width="5.5703125" style="24" customWidth="1"/>
    <col min="1547" max="1547" width="8.5703125" style="24" customWidth="1"/>
    <col min="1548" max="1548" width="5.7109375" style="24" customWidth="1"/>
    <col min="1549" max="1549" width="18.85546875" style="24" customWidth="1"/>
    <col min="1550" max="1550" width="14.5703125" style="24" customWidth="1"/>
    <col min="1551" max="1551" width="17.140625" style="24" customWidth="1"/>
    <col min="1552" max="1552" width="16" style="24" customWidth="1"/>
    <col min="1553" max="1553" width="15" style="24" customWidth="1"/>
    <col min="1554" max="1554" width="13.5703125" style="24" customWidth="1"/>
    <col min="1555" max="1555" width="10.140625" style="24" customWidth="1"/>
    <col min="1556" max="1556" width="11.7109375" style="24" customWidth="1"/>
    <col min="1557" max="1557" width="10.28515625" style="24" customWidth="1"/>
    <col min="1558" max="1558" width="15.5703125" style="24" customWidth="1"/>
    <col min="1559" max="1559" width="12.140625" style="24" customWidth="1"/>
    <col min="1560" max="1560" width="14.140625" style="24" customWidth="1"/>
    <col min="1561" max="1561" width="13.85546875" style="24" customWidth="1"/>
    <col min="1562" max="1562" width="12.28515625" style="24" customWidth="1"/>
    <col min="1563" max="1563" width="9.85546875" style="24" bestFit="1" customWidth="1"/>
    <col min="1564" max="1564" width="10.42578125" style="24" customWidth="1"/>
    <col min="1565" max="1566" width="0" style="24" hidden="1" customWidth="1"/>
    <col min="1567" max="1567" width="13" style="24" customWidth="1"/>
    <col min="1568" max="1568" width="12" style="24" bestFit="1" customWidth="1"/>
    <col min="1569" max="1569" width="24.42578125" style="24" customWidth="1"/>
    <col min="1570" max="1571" width="9.140625" style="24"/>
    <col min="1572" max="1572" width="11.140625" style="24" bestFit="1" customWidth="1"/>
    <col min="1573" max="1573" width="12.85546875" style="24" bestFit="1" customWidth="1"/>
    <col min="1574" max="1574" width="9.140625" style="24"/>
    <col min="1575" max="1575" width="20.140625" style="24" customWidth="1"/>
    <col min="1576" max="1576" width="5" style="24" customWidth="1"/>
    <col min="1577" max="1577" width="0" style="24" hidden="1" customWidth="1"/>
    <col min="1578" max="1581" width="9.140625" style="24"/>
    <col min="1582" max="1582" width="10.7109375" style="24" customWidth="1"/>
    <col min="1583" max="1795" width="9.140625" style="24"/>
    <col min="1796" max="1796" width="5.5703125" style="24" customWidth="1"/>
    <col min="1797" max="1797" width="41.85546875" style="24" customWidth="1"/>
    <col min="1798" max="1798" width="26" style="24" customWidth="1"/>
    <col min="1799" max="1799" width="17.7109375" style="24" customWidth="1"/>
    <col min="1800" max="1800" width="8.140625" style="24" customWidth="1"/>
    <col min="1801" max="1801" width="10.28515625" style="24" customWidth="1"/>
    <col min="1802" max="1802" width="5.5703125" style="24" customWidth="1"/>
    <col min="1803" max="1803" width="8.5703125" style="24" customWidth="1"/>
    <col min="1804" max="1804" width="5.7109375" style="24" customWidth="1"/>
    <col min="1805" max="1805" width="18.85546875" style="24" customWidth="1"/>
    <col min="1806" max="1806" width="14.5703125" style="24" customWidth="1"/>
    <col min="1807" max="1807" width="17.140625" style="24" customWidth="1"/>
    <col min="1808" max="1808" width="16" style="24" customWidth="1"/>
    <col min="1809" max="1809" width="15" style="24" customWidth="1"/>
    <col min="1810" max="1810" width="13.5703125" style="24" customWidth="1"/>
    <col min="1811" max="1811" width="10.140625" style="24" customWidth="1"/>
    <col min="1812" max="1812" width="11.7109375" style="24" customWidth="1"/>
    <col min="1813" max="1813" width="10.28515625" style="24" customWidth="1"/>
    <col min="1814" max="1814" width="15.5703125" style="24" customWidth="1"/>
    <col min="1815" max="1815" width="12.140625" style="24" customWidth="1"/>
    <col min="1816" max="1816" width="14.140625" style="24" customWidth="1"/>
    <col min="1817" max="1817" width="13.85546875" style="24" customWidth="1"/>
    <col min="1818" max="1818" width="12.28515625" style="24" customWidth="1"/>
    <col min="1819" max="1819" width="9.85546875" style="24" bestFit="1" customWidth="1"/>
    <col min="1820" max="1820" width="10.42578125" style="24" customWidth="1"/>
    <col min="1821" max="1822" width="0" style="24" hidden="1" customWidth="1"/>
    <col min="1823" max="1823" width="13" style="24" customWidth="1"/>
    <col min="1824" max="1824" width="12" style="24" bestFit="1" customWidth="1"/>
    <col min="1825" max="1825" width="24.42578125" style="24" customWidth="1"/>
    <col min="1826" max="1827" width="9.140625" style="24"/>
    <col min="1828" max="1828" width="11.140625" style="24" bestFit="1" customWidth="1"/>
    <col min="1829" max="1829" width="12.85546875" style="24" bestFit="1" customWidth="1"/>
    <col min="1830" max="1830" width="9.140625" style="24"/>
    <col min="1831" max="1831" width="20.140625" style="24" customWidth="1"/>
    <col min="1832" max="1832" width="5" style="24" customWidth="1"/>
    <col min="1833" max="1833" width="0" style="24" hidden="1" customWidth="1"/>
    <col min="1834" max="1837" width="9.140625" style="24"/>
    <col min="1838" max="1838" width="10.7109375" style="24" customWidth="1"/>
    <col min="1839" max="2051" width="9.140625" style="24"/>
    <col min="2052" max="2052" width="5.5703125" style="24" customWidth="1"/>
    <col min="2053" max="2053" width="41.85546875" style="24" customWidth="1"/>
    <col min="2054" max="2054" width="26" style="24" customWidth="1"/>
    <col min="2055" max="2055" width="17.7109375" style="24" customWidth="1"/>
    <col min="2056" max="2056" width="8.140625" style="24" customWidth="1"/>
    <col min="2057" max="2057" width="10.28515625" style="24" customWidth="1"/>
    <col min="2058" max="2058" width="5.5703125" style="24" customWidth="1"/>
    <col min="2059" max="2059" width="8.5703125" style="24" customWidth="1"/>
    <col min="2060" max="2060" width="5.7109375" style="24" customWidth="1"/>
    <col min="2061" max="2061" width="18.85546875" style="24" customWidth="1"/>
    <col min="2062" max="2062" width="14.5703125" style="24" customWidth="1"/>
    <col min="2063" max="2063" width="17.140625" style="24" customWidth="1"/>
    <col min="2064" max="2064" width="16" style="24" customWidth="1"/>
    <col min="2065" max="2065" width="15" style="24" customWidth="1"/>
    <col min="2066" max="2066" width="13.5703125" style="24" customWidth="1"/>
    <col min="2067" max="2067" width="10.140625" style="24" customWidth="1"/>
    <col min="2068" max="2068" width="11.7109375" style="24" customWidth="1"/>
    <col min="2069" max="2069" width="10.28515625" style="24" customWidth="1"/>
    <col min="2070" max="2070" width="15.5703125" style="24" customWidth="1"/>
    <col min="2071" max="2071" width="12.140625" style="24" customWidth="1"/>
    <col min="2072" max="2072" width="14.140625" style="24" customWidth="1"/>
    <col min="2073" max="2073" width="13.85546875" style="24" customWidth="1"/>
    <col min="2074" max="2074" width="12.28515625" style="24" customWidth="1"/>
    <col min="2075" max="2075" width="9.85546875" style="24" bestFit="1" customWidth="1"/>
    <col min="2076" max="2076" width="10.42578125" style="24" customWidth="1"/>
    <col min="2077" max="2078" width="0" style="24" hidden="1" customWidth="1"/>
    <col min="2079" max="2079" width="13" style="24" customWidth="1"/>
    <col min="2080" max="2080" width="12" style="24" bestFit="1" customWidth="1"/>
    <col min="2081" max="2081" width="24.42578125" style="24" customWidth="1"/>
    <col min="2082" max="2083" width="9.140625" style="24"/>
    <col min="2084" max="2084" width="11.140625" style="24" bestFit="1" customWidth="1"/>
    <col min="2085" max="2085" width="12.85546875" style="24" bestFit="1" customWidth="1"/>
    <col min="2086" max="2086" width="9.140625" style="24"/>
    <col min="2087" max="2087" width="20.140625" style="24" customWidth="1"/>
    <col min="2088" max="2088" width="5" style="24" customWidth="1"/>
    <col min="2089" max="2089" width="0" style="24" hidden="1" customWidth="1"/>
    <col min="2090" max="2093" width="9.140625" style="24"/>
    <col min="2094" max="2094" width="10.7109375" style="24" customWidth="1"/>
    <col min="2095" max="2307" width="9.140625" style="24"/>
    <col min="2308" max="2308" width="5.5703125" style="24" customWidth="1"/>
    <col min="2309" max="2309" width="41.85546875" style="24" customWidth="1"/>
    <col min="2310" max="2310" width="26" style="24" customWidth="1"/>
    <col min="2311" max="2311" width="17.7109375" style="24" customWidth="1"/>
    <col min="2312" max="2312" width="8.140625" style="24" customWidth="1"/>
    <col min="2313" max="2313" width="10.28515625" style="24" customWidth="1"/>
    <col min="2314" max="2314" width="5.5703125" style="24" customWidth="1"/>
    <col min="2315" max="2315" width="8.5703125" style="24" customWidth="1"/>
    <col min="2316" max="2316" width="5.7109375" style="24" customWidth="1"/>
    <col min="2317" max="2317" width="18.85546875" style="24" customWidth="1"/>
    <col min="2318" max="2318" width="14.5703125" style="24" customWidth="1"/>
    <col min="2319" max="2319" width="17.140625" style="24" customWidth="1"/>
    <col min="2320" max="2320" width="16" style="24" customWidth="1"/>
    <col min="2321" max="2321" width="15" style="24" customWidth="1"/>
    <col min="2322" max="2322" width="13.5703125" style="24" customWidth="1"/>
    <col min="2323" max="2323" width="10.140625" style="24" customWidth="1"/>
    <col min="2324" max="2324" width="11.7109375" style="24" customWidth="1"/>
    <col min="2325" max="2325" width="10.28515625" style="24" customWidth="1"/>
    <col min="2326" max="2326" width="15.5703125" style="24" customWidth="1"/>
    <col min="2327" max="2327" width="12.140625" style="24" customWidth="1"/>
    <col min="2328" max="2328" width="14.140625" style="24" customWidth="1"/>
    <col min="2329" max="2329" width="13.85546875" style="24" customWidth="1"/>
    <col min="2330" max="2330" width="12.28515625" style="24" customWidth="1"/>
    <col min="2331" max="2331" width="9.85546875" style="24" bestFit="1" customWidth="1"/>
    <col min="2332" max="2332" width="10.42578125" style="24" customWidth="1"/>
    <col min="2333" max="2334" width="0" style="24" hidden="1" customWidth="1"/>
    <col min="2335" max="2335" width="13" style="24" customWidth="1"/>
    <col min="2336" max="2336" width="12" style="24" bestFit="1" customWidth="1"/>
    <col min="2337" max="2337" width="24.42578125" style="24" customWidth="1"/>
    <col min="2338" max="2339" width="9.140625" style="24"/>
    <col min="2340" max="2340" width="11.140625" style="24" bestFit="1" customWidth="1"/>
    <col min="2341" max="2341" width="12.85546875" style="24" bestFit="1" customWidth="1"/>
    <col min="2342" max="2342" width="9.140625" style="24"/>
    <col min="2343" max="2343" width="20.140625" style="24" customWidth="1"/>
    <col min="2344" max="2344" width="5" style="24" customWidth="1"/>
    <col min="2345" max="2345" width="0" style="24" hidden="1" customWidth="1"/>
    <col min="2346" max="2349" width="9.140625" style="24"/>
    <col min="2350" max="2350" width="10.7109375" style="24" customWidth="1"/>
    <col min="2351" max="2563" width="9.140625" style="24"/>
    <col min="2564" max="2564" width="5.5703125" style="24" customWidth="1"/>
    <col min="2565" max="2565" width="41.85546875" style="24" customWidth="1"/>
    <col min="2566" max="2566" width="26" style="24" customWidth="1"/>
    <col min="2567" max="2567" width="17.7109375" style="24" customWidth="1"/>
    <col min="2568" max="2568" width="8.140625" style="24" customWidth="1"/>
    <col min="2569" max="2569" width="10.28515625" style="24" customWidth="1"/>
    <col min="2570" max="2570" width="5.5703125" style="24" customWidth="1"/>
    <col min="2571" max="2571" width="8.5703125" style="24" customWidth="1"/>
    <col min="2572" max="2572" width="5.7109375" style="24" customWidth="1"/>
    <col min="2573" max="2573" width="18.85546875" style="24" customWidth="1"/>
    <col min="2574" max="2574" width="14.5703125" style="24" customWidth="1"/>
    <col min="2575" max="2575" width="17.140625" style="24" customWidth="1"/>
    <col min="2576" max="2576" width="16" style="24" customWidth="1"/>
    <col min="2577" max="2577" width="15" style="24" customWidth="1"/>
    <col min="2578" max="2578" width="13.5703125" style="24" customWidth="1"/>
    <col min="2579" max="2579" width="10.140625" style="24" customWidth="1"/>
    <col min="2580" max="2580" width="11.7109375" style="24" customWidth="1"/>
    <col min="2581" max="2581" width="10.28515625" style="24" customWidth="1"/>
    <col min="2582" max="2582" width="15.5703125" style="24" customWidth="1"/>
    <col min="2583" max="2583" width="12.140625" style="24" customWidth="1"/>
    <col min="2584" max="2584" width="14.140625" style="24" customWidth="1"/>
    <col min="2585" max="2585" width="13.85546875" style="24" customWidth="1"/>
    <col min="2586" max="2586" width="12.28515625" style="24" customWidth="1"/>
    <col min="2587" max="2587" width="9.85546875" style="24" bestFit="1" customWidth="1"/>
    <col min="2588" max="2588" width="10.42578125" style="24" customWidth="1"/>
    <col min="2589" max="2590" width="0" style="24" hidden="1" customWidth="1"/>
    <col min="2591" max="2591" width="13" style="24" customWidth="1"/>
    <col min="2592" max="2592" width="12" style="24" bestFit="1" customWidth="1"/>
    <col min="2593" max="2593" width="24.42578125" style="24" customWidth="1"/>
    <col min="2594" max="2595" width="9.140625" style="24"/>
    <col min="2596" max="2596" width="11.140625" style="24" bestFit="1" customWidth="1"/>
    <col min="2597" max="2597" width="12.85546875" style="24" bestFit="1" customWidth="1"/>
    <col min="2598" max="2598" width="9.140625" style="24"/>
    <col min="2599" max="2599" width="20.140625" style="24" customWidth="1"/>
    <col min="2600" max="2600" width="5" style="24" customWidth="1"/>
    <col min="2601" max="2601" width="0" style="24" hidden="1" customWidth="1"/>
    <col min="2602" max="2605" width="9.140625" style="24"/>
    <col min="2606" max="2606" width="10.7109375" style="24" customWidth="1"/>
    <col min="2607" max="2819" width="9.140625" style="24"/>
    <col min="2820" max="2820" width="5.5703125" style="24" customWidth="1"/>
    <col min="2821" max="2821" width="41.85546875" style="24" customWidth="1"/>
    <col min="2822" max="2822" width="26" style="24" customWidth="1"/>
    <col min="2823" max="2823" width="17.7109375" style="24" customWidth="1"/>
    <col min="2824" max="2824" width="8.140625" style="24" customWidth="1"/>
    <col min="2825" max="2825" width="10.28515625" style="24" customWidth="1"/>
    <col min="2826" max="2826" width="5.5703125" style="24" customWidth="1"/>
    <col min="2827" max="2827" width="8.5703125" style="24" customWidth="1"/>
    <col min="2828" max="2828" width="5.7109375" style="24" customWidth="1"/>
    <col min="2829" max="2829" width="18.85546875" style="24" customWidth="1"/>
    <col min="2830" max="2830" width="14.5703125" style="24" customWidth="1"/>
    <col min="2831" max="2831" width="17.140625" style="24" customWidth="1"/>
    <col min="2832" max="2832" width="16" style="24" customWidth="1"/>
    <col min="2833" max="2833" width="15" style="24" customWidth="1"/>
    <col min="2834" max="2834" width="13.5703125" style="24" customWidth="1"/>
    <col min="2835" max="2835" width="10.140625" style="24" customWidth="1"/>
    <col min="2836" max="2836" width="11.7109375" style="24" customWidth="1"/>
    <col min="2837" max="2837" width="10.28515625" style="24" customWidth="1"/>
    <col min="2838" max="2838" width="15.5703125" style="24" customWidth="1"/>
    <col min="2839" max="2839" width="12.140625" style="24" customWidth="1"/>
    <col min="2840" max="2840" width="14.140625" style="24" customWidth="1"/>
    <col min="2841" max="2841" width="13.85546875" style="24" customWidth="1"/>
    <col min="2842" max="2842" width="12.28515625" style="24" customWidth="1"/>
    <col min="2843" max="2843" width="9.85546875" style="24" bestFit="1" customWidth="1"/>
    <col min="2844" max="2844" width="10.42578125" style="24" customWidth="1"/>
    <col min="2845" max="2846" width="0" style="24" hidden="1" customWidth="1"/>
    <col min="2847" max="2847" width="13" style="24" customWidth="1"/>
    <col min="2848" max="2848" width="12" style="24" bestFit="1" customWidth="1"/>
    <col min="2849" max="2849" width="24.42578125" style="24" customWidth="1"/>
    <col min="2850" max="2851" width="9.140625" style="24"/>
    <col min="2852" max="2852" width="11.140625" style="24" bestFit="1" customWidth="1"/>
    <col min="2853" max="2853" width="12.85546875" style="24" bestFit="1" customWidth="1"/>
    <col min="2854" max="2854" width="9.140625" style="24"/>
    <col min="2855" max="2855" width="20.140625" style="24" customWidth="1"/>
    <col min="2856" max="2856" width="5" style="24" customWidth="1"/>
    <col min="2857" max="2857" width="0" style="24" hidden="1" customWidth="1"/>
    <col min="2858" max="2861" width="9.140625" style="24"/>
    <col min="2862" max="2862" width="10.7109375" style="24" customWidth="1"/>
    <col min="2863" max="3075" width="9.140625" style="24"/>
    <col min="3076" max="3076" width="5.5703125" style="24" customWidth="1"/>
    <col min="3077" max="3077" width="41.85546875" style="24" customWidth="1"/>
    <col min="3078" max="3078" width="26" style="24" customWidth="1"/>
    <col min="3079" max="3079" width="17.7109375" style="24" customWidth="1"/>
    <col min="3080" max="3080" width="8.140625" style="24" customWidth="1"/>
    <col min="3081" max="3081" width="10.28515625" style="24" customWidth="1"/>
    <col min="3082" max="3082" width="5.5703125" style="24" customWidth="1"/>
    <col min="3083" max="3083" width="8.5703125" style="24" customWidth="1"/>
    <col min="3084" max="3084" width="5.7109375" style="24" customWidth="1"/>
    <col min="3085" max="3085" width="18.85546875" style="24" customWidth="1"/>
    <col min="3086" max="3086" width="14.5703125" style="24" customWidth="1"/>
    <col min="3087" max="3087" width="17.140625" style="24" customWidth="1"/>
    <col min="3088" max="3088" width="16" style="24" customWidth="1"/>
    <col min="3089" max="3089" width="15" style="24" customWidth="1"/>
    <col min="3090" max="3090" width="13.5703125" style="24" customWidth="1"/>
    <col min="3091" max="3091" width="10.140625" style="24" customWidth="1"/>
    <col min="3092" max="3092" width="11.7109375" style="24" customWidth="1"/>
    <col min="3093" max="3093" width="10.28515625" style="24" customWidth="1"/>
    <col min="3094" max="3094" width="15.5703125" style="24" customWidth="1"/>
    <col min="3095" max="3095" width="12.140625" style="24" customWidth="1"/>
    <col min="3096" max="3096" width="14.140625" style="24" customWidth="1"/>
    <col min="3097" max="3097" width="13.85546875" style="24" customWidth="1"/>
    <col min="3098" max="3098" width="12.28515625" style="24" customWidth="1"/>
    <col min="3099" max="3099" width="9.85546875" style="24" bestFit="1" customWidth="1"/>
    <col min="3100" max="3100" width="10.42578125" style="24" customWidth="1"/>
    <col min="3101" max="3102" width="0" style="24" hidden="1" customWidth="1"/>
    <col min="3103" max="3103" width="13" style="24" customWidth="1"/>
    <col min="3104" max="3104" width="12" style="24" bestFit="1" customWidth="1"/>
    <col min="3105" max="3105" width="24.42578125" style="24" customWidth="1"/>
    <col min="3106" max="3107" width="9.140625" style="24"/>
    <col min="3108" max="3108" width="11.140625" style="24" bestFit="1" customWidth="1"/>
    <col min="3109" max="3109" width="12.85546875" style="24" bestFit="1" customWidth="1"/>
    <col min="3110" max="3110" width="9.140625" style="24"/>
    <col min="3111" max="3111" width="20.140625" style="24" customWidth="1"/>
    <col min="3112" max="3112" width="5" style="24" customWidth="1"/>
    <col min="3113" max="3113" width="0" style="24" hidden="1" customWidth="1"/>
    <col min="3114" max="3117" width="9.140625" style="24"/>
    <col min="3118" max="3118" width="10.7109375" style="24" customWidth="1"/>
    <col min="3119" max="3331" width="9.140625" style="24"/>
    <col min="3332" max="3332" width="5.5703125" style="24" customWidth="1"/>
    <col min="3333" max="3333" width="41.85546875" style="24" customWidth="1"/>
    <col min="3334" max="3334" width="26" style="24" customWidth="1"/>
    <col min="3335" max="3335" width="17.7109375" style="24" customWidth="1"/>
    <col min="3336" max="3336" width="8.140625" style="24" customWidth="1"/>
    <col min="3337" max="3337" width="10.28515625" style="24" customWidth="1"/>
    <col min="3338" max="3338" width="5.5703125" style="24" customWidth="1"/>
    <col min="3339" max="3339" width="8.5703125" style="24" customWidth="1"/>
    <col min="3340" max="3340" width="5.7109375" style="24" customWidth="1"/>
    <col min="3341" max="3341" width="18.85546875" style="24" customWidth="1"/>
    <col min="3342" max="3342" width="14.5703125" style="24" customWidth="1"/>
    <col min="3343" max="3343" width="17.140625" style="24" customWidth="1"/>
    <col min="3344" max="3344" width="16" style="24" customWidth="1"/>
    <col min="3345" max="3345" width="15" style="24" customWidth="1"/>
    <col min="3346" max="3346" width="13.5703125" style="24" customWidth="1"/>
    <col min="3347" max="3347" width="10.140625" style="24" customWidth="1"/>
    <col min="3348" max="3348" width="11.7109375" style="24" customWidth="1"/>
    <col min="3349" max="3349" width="10.28515625" style="24" customWidth="1"/>
    <col min="3350" max="3350" width="15.5703125" style="24" customWidth="1"/>
    <col min="3351" max="3351" width="12.140625" style="24" customWidth="1"/>
    <col min="3352" max="3352" width="14.140625" style="24" customWidth="1"/>
    <col min="3353" max="3353" width="13.85546875" style="24" customWidth="1"/>
    <col min="3354" max="3354" width="12.28515625" style="24" customWidth="1"/>
    <col min="3355" max="3355" width="9.85546875" style="24" bestFit="1" customWidth="1"/>
    <col min="3356" max="3356" width="10.42578125" style="24" customWidth="1"/>
    <col min="3357" max="3358" width="0" style="24" hidden="1" customWidth="1"/>
    <col min="3359" max="3359" width="13" style="24" customWidth="1"/>
    <col min="3360" max="3360" width="12" style="24" bestFit="1" customWidth="1"/>
    <col min="3361" max="3361" width="24.42578125" style="24" customWidth="1"/>
    <col min="3362" max="3363" width="9.140625" style="24"/>
    <col min="3364" max="3364" width="11.140625" style="24" bestFit="1" customWidth="1"/>
    <col min="3365" max="3365" width="12.85546875" style="24" bestFit="1" customWidth="1"/>
    <col min="3366" max="3366" width="9.140625" style="24"/>
    <col min="3367" max="3367" width="20.140625" style="24" customWidth="1"/>
    <col min="3368" max="3368" width="5" style="24" customWidth="1"/>
    <col min="3369" max="3369" width="0" style="24" hidden="1" customWidth="1"/>
    <col min="3370" max="3373" width="9.140625" style="24"/>
    <col min="3374" max="3374" width="10.7109375" style="24" customWidth="1"/>
    <col min="3375" max="3587" width="9.140625" style="24"/>
    <col min="3588" max="3588" width="5.5703125" style="24" customWidth="1"/>
    <col min="3589" max="3589" width="41.85546875" style="24" customWidth="1"/>
    <col min="3590" max="3590" width="26" style="24" customWidth="1"/>
    <col min="3591" max="3591" width="17.7109375" style="24" customWidth="1"/>
    <col min="3592" max="3592" width="8.140625" style="24" customWidth="1"/>
    <col min="3593" max="3593" width="10.28515625" style="24" customWidth="1"/>
    <col min="3594" max="3594" width="5.5703125" style="24" customWidth="1"/>
    <col min="3595" max="3595" width="8.5703125" style="24" customWidth="1"/>
    <col min="3596" max="3596" width="5.7109375" style="24" customWidth="1"/>
    <col min="3597" max="3597" width="18.85546875" style="24" customWidth="1"/>
    <col min="3598" max="3598" width="14.5703125" style="24" customWidth="1"/>
    <col min="3599" max="3599" width="17.140625" style="24" customWidth="1"/>
    <col min="3600" max="3600" width="16" style="24" customWidth="1"/>
    <col min="3601" max="3601" width="15" style="24" customWidth="1"/>
    <col min="3602" max="3602" width="13.5703125" style="24" customWidth="1"/>
    <col min="3603" max="3603" width="10.140625" style="24" customWidth="1"/>
    <col min="3604" max="3604" width="11.7109375" style="24" customWidth="1"/>
    <col min="3605" max="3605" width="10.28515625" style="24" customWidth="1"/>
    <col min="3606" max="3606" width="15.5703125" style="24" customWidth="1"/>
    <col min="3607" max="3607" width="12.140625" style="24" customWidth="1"/>
    <col min="3608" max="3608" width="14.140625" style="24" customWidth="1"/>
    <col min="3609" max="3609" width="13.85546875" style="24" customWidth="1"/>
    <col min="3610" max="3610" width="12.28515625" style="24" customWidth="1"/>
    <col min="3611" max="3611" width="9.85546875" style="24" bestFit="1" customWidth="1"/>
    <col min="3612" max="3612" width="10.42578125" style="24" customWidth="1"/>
    <col min="3613" max="3614" width="0" style="24" hidden="1" customWidth="1"/>
    <col min="3615" max="3615" width="13" style="24" customWidth="1"/>
    <col min="3616" max="3616" width="12" style="24" bestFit="1" customWidth="1"/>
    <col min="3617" max="3617" width="24.42578125" style="24" customWidth="1"/>
    <col min="3618" max="3619" width="9.140625" style="24"/>
    <col min="3620" max="3620" width="11.140625" style="24" bestFit="1" customWidth="1"/>
    <col min="3621" max="3621" width="12.85546875" style="24" bestFit="1" customWidth="1"/>
    <col min="3622" max="3622" width="9.140625" style="24"/>
    <col min="3623" max="3623" width="20.140625" style="24" customWidth="1"/>
    <col min="3624" max="3624" width="5" style="24" customWidth="1"/>
    <col min="3625" max="3625" width="0" style="24" hidden="1" customWidth="1"/>
    <col min="3626" max="3629" width="9.140625" style="24"/>
    <col min="3630" max="3630" width="10.7109375" style="24" customWidth="1"/>
    <col min="3631" max="3843" width="9.140625" style="24"/>
    <col min="3844" max="3844" width="5.5703125" style="24" customWidth="1"/>
    <col min="3845" max="3845" width="41.85546875" style="24" customWidth="1"/>
    <col min="3846" max="3846" width="26" style="24" customWidth="1"/>
    <col min="3847" max="3847" width="17.7109375" style="24" customWidth="1"/>
    <col min="3848" max="3848" width="8.140625" style="24" customWidth="1"/>
    <col min="3849" max="3849" width="10.28515625" style="24" customWidth="1"/>
    <col min="3850" max="3850" width="5.5703125" style="24" customWidth="1"/>
    <col min="3851" max="3851" width="8.5703125" style="24" customWidth="1"/>
    <col min="3852" max="3852" width="5.7109375" style="24" customWidth="1"/>
    <col min="3853" max="3853" width="18.85546875" style="24" customWidth="1"/>
    <col min="3854" max="3854" width="14.5703125" style="24" customWidth="1"/>
    <col min="3855" max="3855" width="17.140625" style="24" customWidth="1"/>
    <col min="3856" max="3856" width="16" style="24" customWidth="1"/>
    <col min="3857" max="3857" width="15" style="24" customWidth="1"/>
    <col min="3858" max="3858" width="13.5703125" style="24" customWidth="1"/>
    <col min="3859" max="3859" width="10.140625" style="24" customWidth="1"/>
    <col min="3860" max="3860" width="11.7109375" style="24" customWidth="1"/>
    <col min="3861" max="3861" width="10.28515625" style="24" customWidth="1"/>
    <col min="3862" max="3862" width="15.5703125" style="24" customWidth="1"/>
    <col min="3863" max="3863" width="12.140625" style="24" customWidth="1"/>
    <col min="3864" max="3864" width="14.140625" style="24" customWidth="1"/>
    <col min="3865" max="3865" width="13.85546875" style="24" customWidth="1"/>
    <col min="3866" max="3866" width="12.28515625" style="24" customWidth="1"/>
    <col min="3867" max="3867" width="9.85546875" style="24" bestFit="1" customWidth="1"/>
    <col min="3868" max="3868" width="10.42578125" style="24" customWidth="1"/>
    <col min="3869" max="3870" width="0" style="24" hidden="1" customWidth="1"/>
    <col min="3871" max="3871" width="13" style="24" customWidth="1"/>
    <col min="3872" max="3872" width="12" style="24" bestFit="1" customWidth="1"/>
    <col min="3873" max="3873" width="24.42578125" style="24" customWidth="1"/>
    <col min="3874" max="3875" width="9.140625" style="24"/>
    <col min="3876" max="3876" width="11.140625" style="24" bestFit="1" customWidth="1"/>
    <col min="3877" max="3877" width="12.85546875" style="24" bestFit="1" customWidth="1"/>
    <col min="3878" max="3878" width="9.140625" style="24"/>
    <col min="3879" max="3879" width="20.140625" style="24" customWidth="1"/>
    <col min="3880" max="3880" width="5" style="24" customWidth="1"/>
    <col min="3881" max="3881" width="0" style="24" hidden="1" customWidth="1"/>
    <col min="3882" max="3885" width="9.140625" style="24"/>
    <col min="3886" max="3886" width="10.7109375" style="24" customWidth="1"/>
    <col min="3887" max="4099" width="9.140625" style="24"/>
    <col min="4100" max="4100" width="5.5703125" style="24" customWidth="1"/>
    <col min="4101" max="4101" width="41.85546875" style="24" customWidth="1"/>
    <col min="4102" max="4102" width="26" style="24" customWidth="1"/>
    <col min="4103" max="4103" width="17.7109375" style="24" customWidth="1"/>
    <col min="4104" max="4104" width="8.140625" style="24" customWidth="1"/>
    <col min="4105" max="4105" width="10.28515625" style="24" customWidth="1"/>
    <col min="4106" max="4106" width="5.5703125" style="24" customWidth="1"/>
    <col min="4107" max="4107" width="8.5703125" style="24" customWidth="1"/>
    <col min="4108" max="4108" width="5.7109375" style="24" customWidth="1"/>
    <col min="4109" max="4109" width="18.85546875" style="24" customWidth="1"/>
    <col min="4110" max="4110" width="14.5703125" style="24" customWidth="1"/>
    <col min="4111" max="4111" width="17.140625" style="24" customWidth="1"/>
    <col min="4112" max="4112" width="16" style="24" customWidth="1"/>
    <col min="4113" max="4113" width="15" style="24" customWidth="1"/>
    <col min="4114" max="4114" width="13.5703125" style="24" customWidth="1"/>
    <col min="4115" max="4115" width="10.140625" style="24" customWidth="1"/>
    <col min="4116" max="4116" width="11.7109375" style="24" customWidth="1"/>
    <col min="4117" max="4117" width="10.28515625" style="24" customWidth="1"/>
    <col min="4118" max="4118" width="15.5703125" style="24" customWidth="1"/>
    <col min="4119" max="4119" width="12.140625" style="24" customWidth="1"/>
    <col min="4120" max="4120" width="14.140625" style="24" customWidth="1"/>
    <col min="4121" max="4121" width="13.85546875" style="24" customWidth="1"/>
    <col min="4122" max="4122" width="12.28515625" style="24" customWidth="1"/>
    <col min="4123" max="4123" width="9.85546875" style="24" bestFit="1" customWidth="1"/>
    <col min="4124" max="4124" width="10.42578125" style="24" customWidth="1"/>
    <col min="4125" max="4126" width="0" style="24" hidden="1" customWidth="1"/>
    <col min="4127" max="4127" width="13" style="24" customWidth="1"/>
    <col min="4128" max="4128" width="12" style="24" bestFit="1" customWidth="1"/>
    <col min="4129" max="4129" width="24.42578125" style="24" customWidth="1"/>
    <col min="4130" max="4131" width="9.140625" style="24"/>
    <col min="4132" max="4132" width="11.140625" style="24" bestFit="1" customWidth="1"/>
    <col min="4133" max="4133" width="12.85546875" style="24" bestFit="1" customWidth="1"/>
    <col min="4134" max="4134" width="9.140625" style="24"/>
    <col min="4135" max="4135" width="20.140625" style="24" customWidth="1"/>
    <col min="4136" max="4136" width="5" style="24" customWidth="1"/>
    <col min="4137" max="4137" width="0" style="24" hidden="1" customWidth="1"/>
    <col min="4138" max="4141" width="9.140625" style="24"/>
    <col min="4142" max="4142" width="10.7109375" style="24" customWidth="1"/>
    <col min="4143" max="4355" width="9.140625" style="24"/>
    <col min="4356" max="4356" width="5.5703125" style="24" customWidth="1"/>
    <col min="4357" max="4357" width="41.85546875" style="24" customWidth="1"/>
    <col min="4358" max="4358" width="26" style="24" customWidth="1"/>
    <col min="4359" max="4359" width="17.7109375" style="24" customWidth="1"/>
    <col min="4360" max="4360" width="8.140625" style="24" customWidth="1"/>
    <col min="4361" max="4361" width="10.28515625" style="24" customWidth="1"/>
    <col min="4362" max="4362" width="5.5703125" style="24" customWidth="1"/>
    <col min="4363" max="4363" width="8.5703125" style="24" customWidth="1"/>
    <col min="4364" max="4364" width="5.7109375" style="24" customWidth="1"/>
    <col min="4365" max="4365" width="18.85546875" style="24" customWidth="1"/>
    <col min="4366" max="4366" width="14.5703125" style="24" customWidth="1"/>
    <col min="4367" max="4367" width="17.140625" style="24" customWidth="1"/>
    <col min="4368" max="4368" width="16" style="24" customWidth="1"/>
    <col min="4369" max="4369" width="15" style="24" customWidth="1"/>
    <col min="4370" max="4370" width="13.5703125" style="24" customWidth="1"/>
    <col min="4371" max="4371" width="10.140625" style="24" customWidth="1"/>
    <col min="4372" max="4372" width="11.7109375" style="24" customWidth="1"/>
    <col min="4373" max="4373" width="10.28515625" style="24" customWidth="1"/>
    <col min="4374" max="4374" width="15.5703125" style="24" customWidth="1"/>
    <col min="4375" max="4375" width="12.140625" style="24" customWidth="1"/>
    <col min="4376" max="4376" width="14.140625" style="24" customWidth="1"/>
    <col min="4377" max="4377" width="13.85546875" style="24" customWidth="1"/>
    <col min="4378" max="4378" width="12.28515625" style="24" customWidth="1"/>
    <col min="4379" max="4379" width="9.85546875" style="24" bestFit="1" customWidth="1"/>
    <col min="4380" max="4380" width="10.42578125" style="24" customWidth="1"/>
    <col min="4381" max="4382" width="0" style="24" hidden="1" customWidth="1"/>
    <col min="4383" max="4383" width="13" style="24" customWidth="1"/>
    <col min="4384" max="4384" width="12" style="24" bestFit="1" customWidth="1"/>
    <col min="4385" max="4385" width="24.42578125" style="24" customWidth="1"/>
    <col min="4386" max="4387" width="9.140625" style="24"/>
    <col min="4388" max="4388" width="11.140625" style="24" bestFit="1" customWidth="1"/>
    <col min="4389" max="4389" width="12.85546875" style="24" bestFit="1" customWidth="1"/>
    <col min="4390" max="4390" width="9.140625" style="24"/>
    <col min="4391" max="4391" width="20.140625" style="24" customWidth="1"/>
    <col min="4392" max="4392" width="5" style="24" customWidth="1"/>
    <col min="4393" max="4393" width="0" style="24" hidden="1" customWidth="1"/>
    <col min="4394" max="4397" width="9.140625" style="24"/>
    <col min="4398" max="4398" width="10.7109375" style="24" customWidth="1"/>
    <col min="4399" max="4611" width="9.140625" style="24"/>
    <col min="4612" max="4612" width="5.5703125" style="24" customWidth="1"/>
    <col min="4613" max="4613" width="41.85546875" style="24" customWidth="1"/>
    <col min="4614" max="4614" width="26" style="24" customWidth="1"/>
    <col min="4615" max="4615" width="17.7109375" style="24" customWidth="1"/>
    <col min="4616" max="4616" width="8.140625" style="24" customWidth="1"/>
    <col min="4617" max="4617" width="10.28515625" style="24" customWidth="1"/>
    <col min="4618" max="4618" width="5.5703125" style="24" customWidth="1"/>
    <col min="4619" max="4619" width="8.5703125" style="24" customWidth="1"/>
    <col min="4620" max="4620" width="5.7109375" style="24" customWidth="1"/>
    <col min="4621" max="4621" width="18.85546875" style="24" customWidth="1"/>
    <col min="4622" max="4622" width="14.5703125" style="24" customWidth="1"/>
    <col min="4623" max="4623" width="17.140625" style="24" customWidth="1"/>
    <col min="4624" max="4624" width="16" style="24" customWidth="1"/>
    <col min="4625" max="4625" width="15" style="24" customWidth="1"/>
    <col min="4626" max="4626" width="13.5703125" style="24" customWidth="1"/>
    <col min="4627" max="4627" width="10.140625" style="24" customWidth="1"/>
    <col min="4628" max="4628" width="11.7109375" style="24" customWidth="1"/>
    <col min="4629" max="4629" width="10.28515625" style="24" customWidth="1"/>
    <col min="4630" max="4630" width="15.5703125" style="24" customWidth="1"/>
    <col min="4631" max="4631" width="12.140625" style="24" customWidth="1"/>
    <col min="4632" max="4632" width="14.140625" style="24" customWidth="1"/>
    <col min="4633" max="4633" width="13.85546875" style="24" customWidth="1"/>
    <col min="4634" max="4634" width="12.28515625" style="24" customWidth="1"/>
    <col min="4635" max="4635" width="9.85546875" style="24" bestFit="1" customWidth="1"/>
    <col min="4636" max="4636" width="10.42578125" style="24" customWidth="1"/>
    <col min="4637" max="4638" width="0" style="24" hidden="1" customWidth="1"/>
    <col min="4639" max="4639" width="13" style="24" customWidth="1"/>
    <col min="4640" max="4640" width="12" style="24" bestFit="1" customWidth="1"/>
    <col min="4641" max="4641" width="24.42578125" style="24" customWidth="1"/>
    <col min="4642" max="4643" width="9.140625" style="24"/>
    <col min="4644" max="4644" width="11.140625" style="24" bestFit="1" customWidth="1"/>
    <col min="4645" max="4645" width="12.85546875" style="24" bestFit="1" customWidth="1"/>
    <col min="4646" max="4646" width="9.140625" style="24"/>
    <col min="4647" max="4647" width="20.140625" style="24" customWidth="1"/>
    <col min="4648" max="4648" width="5" style="24" customWidth="1"/>
    <col min="4649" max="4649" width="0" style="24" hidden="1" customWidth="1"/>
    <col min="4650" max="4653" width="9.140625" style="24"/>
    <col min="4654" max="4654" width="10.7109375" style="24" customWidth="1"/>
    <col min="4655" max="4867" width="9.140625" style="24"/>
    <col min="4868" max="4868" width="5.5703125" style="24" customWidth="1"/>
    <col min="4869" max="4869" width="41.85546875" style="24" customWidth="1"/>
    <col min="4870" max="4870" width="26" style="24" customWidth="1"/>
    <col min="4871" max="4871" width="17.7109375" style="24" customWidth="1"/>
    <col min="4872" max="4872" width="8.140625" style="24" customWidth="1"/>
    <col min="4873" max="4873" width="10.28515625" style="24" customWidth="1"/>
    <col min="4874" max="4874" width="5.5703125" style="24" customWidth="1"/>
    <col min="4875" max="4875" width="8.5703125" style="24" customWidth="1"/>
    <col min="4876" max="4876" width="5.7109375" style="24" customWidth="1"/>
    <col min="4877" max="4877" width="18.85546875" style="24" customWidth="1"/>
    <col min="4878" max="4878" width="14.5703125" style="24" customWidth="1"/>
    <col min="4879" max="4879" width="17.140625" style="24" customWidth="1"/>
    <col min="4880" max="4880" width="16" style="24" customWidth="1"/>
    <col min="4881" max="4881" width="15" style="24" customWidth="1"/>
    <col min="4882" max="4882" width="13.5703125" style="24" customWidth="1"/>
    <col min="4883" max="4883" width="10.140625" style="24" customWidth="1"/>
    <col min="4884" max="4884" width="11.7109375" style="24" customWidth="1"/>
    <col min="4885" max="4885" width="10.28515625" style="24" customWidth="1"/>
    <col min="4886" max="4886" width="15.5703125" style="24" customWidth="1"/>
    <col min="4887" max="4887" width="12.140625" style="24" customWidth="1"/>
    <col min="4888" max="4888" width="14.140625" style="24" customWidth="1"/>
    <col min="4889" max="4889" width="13.85546875" style="24" customWidth="1"/>
    <col min="4890" max="4890" width="12.28515625" style="24" customWidth="1"/>
    <col min="4891" max="4891" width="9.85546875" style="24" bestFit="1" customWidth="1"/>
    <col min="4892" max="4892" width="10.42578125" style="24" customWidth="1"/>
    <col min="4893" max="4894" width="0" style="24" hidden="1" customWidth="1"/>
    <col min="4895" max="4895" width="13" style="24" customWidth="1"/>
    <col min="4896" max="4896" width="12" style="24" bestFit="1" customWidth="1"/>
    <col min="4897" max="4897" width="24.42578125" style="24" customWidth="1"/>
    <col min="4898" max="4899" width="9.140625" style="24"/>
    <col min="4900" max="4900" width="11.140625" style="24" bestFit="1" customWidth="1"/>
    <col min="4901" max="4901" width="12.85546875" style="24" bestFit="1" customWidth="1"/>
    <col min="4902" max="4902" width="9.140625" style="24"/>
    <col min="4903" max="4903" width="20.140625" style="24" customWidth="1"/>
    <col min="4904" max="4904" width="5" style="24" customWidth="1"/>
    <col min="4905" max="4905" width="0" style="24" hidden="1" customWidth="1"/>
    <col min="4906" max="4909" width="9.140625" style="24"/>
    <col min="4910" max="4910" width="10.7109375" style="24" customWidth="1"/>
    <col min="4911" max="5123" width="9.140625" style="24"/>
    <col min="5124" max="5124" width="5.5703125" style="24" customWidth="1"/>
    <col min="5125" max="5125" width="41.85546875" style="24" customWidth="1"/>
    <col min="5126" max="5126" width="26" style="24" customWidth="1"/>
    <col min="5127" max="5127" width="17.7109375" style="24" customWidth="1"/>
    <col min="5128" max="5128" width="8.140625" style="24" customWidth="1"/>
    <col min="5129" max="5129" width="10.28515625" style="24" customWidth="1"/>
    <col min="5130" max="5130" width="5.5703125" style="24" customWidth="1"/>
    <col min="5131" max="5131" width="8.5703125" style="24" customWidth="1"/>
    <col min="5132" max="5132" width="5.7109375" style="24" customWidth="1"/>
    <col min="5133" max="5133" width="18.85546875" style="24" customWidth="1"/>
    <col min="5134" max="5134" width="14.5703125" style="24" customWidth="1"/>
    <col min="5135" max="5135" width="17.140625" style="24" customWidth="1"/>
    <col min="5136" max="5136" width="16" style="24" customWidth="1"/>
    <col min="5137" max="5137" width="15" style="24" customWidth="1"/>
    <col min="5138" max="5138" width="13.5703125" style="24" customWidth="1"/>
    <col min="5139" max="5139" width="10.140625" style="24" customWidth="1"/>
    <col min="5140" max="5140" width="11.7109375" style="24" customWidth="1"/>
    <col min="5141" max="5141" width="10.28515625" style="24" customWidth="1"/>
    <col min="5142" max="5142" width="15.5703125" style="24" customWidth="1"/>
    <col min="5143" max="5143" width="12.140625" style="24" customWidth="1"/>
    <col min="5144" max="5144" width="14.140625" style="24" customWidth="1"/>
    <col min="5145" max="5145" width="13.85546875" style="24" customWidth="1"/>
    <col min="5146" max="5146" width="12.28515625" style="24" customWidth="1"/>
    <col min="5147" max="5147" width="9.85546875" style="24" bestFit="1" customWidth="1"/>
    <col min="5148" max="5148" width="10.42578125" style="24" customWidth="1"/>
    <col min="5149" max="5150" width="0" style="24" hidden="1" customWidth="1"/>
    <col min="5151" max="5151" width="13" style="24" customWidth="1"/>
    <col min="5152" max="5152" width="12" style="24" bestFit="1" customWidth="1"/>
    <col min="5153" max="5153" width="24.42578125" style="24" customWidth="1"/>
    <col min="5154" max="5155" width="9.140625" style="24"/>
    <col min="5156" max="5156" width="11.140625" style="24" bestFit="1" customWidth="1"/>
    <col min="5157" max="5157" width="12.85546875" style="24" bestFit="1" customWidth="1"/>
    <col min="5158" max="5158" width="9.140625" style="24"/>
    <col min="5159" max="5159" width="20.140625" style="24" customWidth="1"/>
    <col min="5160" max="5160" width="5" style="24" customWidth="1"/>
    <col min="5161" max="5161" width="0" style="24" hidden="1" customWidth="1"/>
    <col min="5162" max="5165" width="9.140625" style="24"/>
    <col min="5166" max="5166" width="10.7109375" style="24" customWidth="1"/>
    <col min="5167" max="5379" width="9.140625" style="24"/>
    <col min="5380" max="5380" width="5.5703125" style="24" customWidth="1"/>
    <col min="5381" max="5381" width="41.85546875" style="24" customWidth="1"/>
    <col min="5382" max="5382" width="26" style="24" customWidth="1"/>
    <col min="5383" max="5383" width="17.7109375" style="24" customWidth="1"/>
    <col min="5384" max="5384" width="8.140625" style="24" customWidth="1"/>
    <col min="5385" max="5385" width="10.28515625" style="24" customWidth="1"/>
    <col min="5386" max="5386" width="5.5703125" style="24" customWidth="1"/>
    <col min="5387" max="5387" width="8.5703125" style="24" customWidth="1"/>
    <col min="5388" max="5388" width="5.7109375" style="24" customWidth="1"/>
    <col min="5389" max="5389" width="18.85546875" style="24" customWidth="1"/>
    <col min="5390" max="5390" width="14.5703125" style="24" customWidth="1"/>
    <col min="5391" max="5391" width="17.140625" style="24" customWidth="1"/>
    <col min="5392" max="5392" width="16" style="24" customWidth="1"/>
    <col min="5393" max="5393" width="15" style="24" customWidth="1"/>
    <col min="5394" max="5394" width="13.5703125" style="24" customWidth="1"/>
    <col min="5395" max="5395" width="10.140625" style="24" customWidth="1"/>
    <col min="5396" max="5396" width="11.7109375" style="24" customWidth="1"/>
    <col min="5397" max="5397" width="10.28515625" style="24" customWidth="1"/>
    <col min="5398" max="5398" width="15.5703125" style="24" customWidth="1"/>
    <col min="5399" max="5399" width="12.140625" style="24" customWidth="1"/>
    <col min="5400" max="5400" width="14.140625" style="24" customWidth="1"/>
    <col min="5401" max="5401" width="13.85546875" style="24" customWidth="1"/>
    <col min="5402" max="5402" width="12.28515625" style="24" customWidth="1"/>
    <col min="5403" max="5403" width="9.85546875" style="24" bestFit="1" customWidth="1"/>
    <col min="5404" max="5404" width="10.42578125" style="24" customWidth="1"/>
    <col min="5405" max="5406" width="0" style="24" hidden="1" customWidth="1"/>
    <col min="5407" max="5407" width="13" style="24" customWidth="1"/>
    <col min="5408" max="5408" width="12" style="24" bestFit="1" customWidth="1"/>
    <col min="5409" max="5409" width="24.42578125" style="24" customWidth="1"/>
    <col min="5410" max="5411" width="9.140625" style="24"/>
    <col min="5412" max="5412" width="11.140625" style="24" bestFit="1" customWidth="1"/>
    <col min="5413" max="5413" width="12.85546875" style="24" bestFit="1" customWidth="1"/>
    <col min="5414" max="5414" width="9.140625" style="24"/>
    <col min="5415" max="5415" width="20.140625" style="24" customWidth="1"/>
    <col min="5416" max="5416" width="5" style="24" customWidth="1"/>
    <col min="5417" max="5417" width="0" style="24" hidden="1" customWidth="1"/>
    <col min="5418" max="5421" width="9.140625" style="24"/>
    <col min="5422" max="5422" width="10.7109375" style="24" customWidth="1"/>
    <col min="5423" max="5635" width="9.140625" style="24"/>
    <col min="5636" max="5636" width="5.5703125" style="24" customWidth="1"/>
    <col min="5637" max="5637" width="41.85546875" style="24" customWidth="1"/>
    <col min="5638" max="5638" width="26" style="24" customWidth="1"/>
    <col min="5639" max="5639" width="17.7109375" style="24" customWidth="1"/>
    <col min="5640" max="5640" width="8.140625" style="24" customWidth="1"/>
    <col min="5641" max="5641" width="10.28515625" style="24" customWidth="1"/>
    <col min="5642" max="5642" width="5.5703125" style="24" customWidth="1"/>
    <col min="5643" max="5643" width="8.5703125" style="24" customWidth="1"/>
    <col min="5644" max="5644" width="5.7109375" style="24" customWidth="1"/>
    <col min="5645" max="5645" width="18.85546875" style="24" customWidth="1"/>
    <col min="5646" max="5646" width="14.5703125" style="24" customWidth="1"/>
    <col min="5647" max="5647" width="17.140625" style="24" customWidth="1"/>
    <col min="5648" max="5648" width="16" style="24" customWidth="1"/>
    <col min="5649" max="5649" width="15" style="24" customWidth="1"/>
    <col min="5650" max="5650" width="13.5703125" style="24" customWidth="1"/>
    <col min="5651" max="5651" width="10.140625" style="24" customWidth="1"/>
    <col min="5652" max="5652" width="11.7109375" style="24" customWidth="1"/>
    <col min="5653" max="5653" width="10.28515625" style="24" customWidth="1"/>
    <col min="5654" max="5654" width="15.5703125" style="24" customWidth="1"/>
    <col min="5655" max="5655" width="12.140625" style="24" customWidth="1"/>
    <col min="5656" max="5656" width="14.140625" style="24" customWidth="1"/>
    <col min="5657" max="5657" width="13.85546875" style="24" customWidth="1"/>
    <col min="5658" max="5658" width="12.28515625" style="24" customWidth="1"/>
    <col min="5659" max="5659" width="9.85546875" style="24" bestFit="1" customWidth="1"/>
    <col min="5660" max="5660" width="10.42578125" style="24" customWidth="1"/>
    <col min="5661" max="5662" width="0" style="24" hidden="1" customWidth="1"/>
    <col min="5663" max="5663" width="13" style="24" customWidth="1"/>
    <col min="5664" max="5664" width="12" style="24" bestFit="1" customWidth="1"/>
    <col min="5665" max="5665" width="24.42578125" style="24" customWidth="1"/>
    <col min="5666" max="5667" width="9.140625" style="24"/>
    <col min="5668" max="5668" width="11.140625" style="24" bestFit="1" customWidth="1"/>
    <col min="5669" max="5669" width="12.85546875" style="24" bestFit="1" customWidth="1"/>
    <col min="5670" max="5670" width="9.140625" style="24"/>
    <col min="5671" max="5671" width="20.140625" style="24" customWidth="1"/>
    <col min="5672" max="5672" width="5" style="24" customWidth="1"/>
    <col min="5673" max="5673" width="0" style="24" hidden="1" customWidth="1"/>
    <col min="5674" max="5677" width="9.140625" style="24"/>
    <col min="5678" max="5678" width="10.7109375" style="24" customWidth="1"/>
    <col min="5679" max="5891" width="9.140625" style="24"/>
    <col min="5892" max="5892" width="5.5703125" style="24" customWidth="1"/>
    <col min="5893" max="5893" width="41.85546875" style="24" customWidth="1"/>
    <col min="5894" max="5894" width="26" style="24" customWidth="1"/>
    <col min="5895" max="5895" width="17.7109375" style="24" customWidth="1"/>
    <col min="5896" max="5896" width="8.140625" style="24" customWidth="1"/>
    <col min="5897" max="5897" width="10.28515625" style="24" customWidth="1"/>
    <col min="5898" max="5898" width="5.5703125" style="24" customWidth="1"/>
    <col min="5899" max="5899" width="8.5703125" style="24" customWidth="1"/>
    <col min="5900" max="5900" width="5.7109375" style="24" customWidth="1"/>
    <col min="5901" max="5901" width="18.85546875" style="24" customWidth="1"/>
    <col min="5902" max="5902" width="14.5703125" style="24" customWidth="1"/>
    <col min="5903" max="5903" width="17.140625" style="24" customWidth="1"/>
    <col min="5904" max="5904" width="16" style="24" customWidth="1"/>
    <col min="5905" max="5905" width="15" style="24" customWidth="1"/>
    <col min="5906" max="5906" width="13.5703125" style="24" customWidth="1"/>
    <col min="5907" max="5907" width="10.140625" style="24" customWidth="1"/>
    <col min="5908" max="5908" width="11.7109375" style="24" customWidth="1"/>
    <col min="5909" max="5909" width="10.28515625" style="24" customWidth="1"/>
    <col min="5910" max="5910" width="15.5703125" style="24" customWidth="1"/>
    <col min="5911" max="5911" width="12.140625" style="24" customWidth="1"/>
    <col min="5912" max="5912" width="14.140625" style="24" customWidth="1"/>
    <col min="5913" max="5913" width="13.85546875" style="24" customWidth="1"/>
    <col min="5914" max="5914" width="12.28515625" style="24" customWidth="1"/>
    <col min="5915" max="5915" width="9.85546875" style="24" bestFit="1" customWidth="1"/>
    <col min="5916" max="5916" width="10.42578125" style="24" customWidth="1"/>
    <col min="5917" max="5918" width="0" style="24" hidden="1" customWidth="1"/>
    <col min="5919" max="5919" width="13" style="24" customWidth="1"/>
    <col min="5920" max="5920" width="12" style="24" bestFit="1" customWidth="1"/>
    <col min="5921" max="5921" width="24.42578125" style="24" customWidth="1"/>
    <col min="5922" max="5923" width="9.140625" style="24"/>
    <col min="5924" max="5924" width="11.140625" style="24" bestFit="1" customWidth="1"/>
    <col min="5925" max="5925" width="12.85546875" style="24" bestFit="1" customWidth="1"/>
    <col min="5926" max="5926" width="9.140625" style="24"/>
    <col min="5927" max="5927" width="20.140625" style="24" customWidth="1"/>
    <col min="5928" max="5928" width="5" style="24" customWidth="1"/>
    <col min="5929" max="5929" width="0" style="24" hidden="1" customWidth="1"/>
    <col min="5930" max="5933" width="9.140625" style="24"/>
    <col min="5934" max="5934" width="10.7109375" style="24" customWidth="1"/>
    <col min="5935" max="6147" width="9.140625" style="24"/>
    <col min="6148" max="6148" width="5.5703125" style="24" customWidth="1"/>
    <col min="6149" max="6149" width="41.85546875" style="24" customWidth="1"/>
    <col min="6150" max="6150" width="26" style="24" customWidth="1"/>
    <col min="6151" max="6151" width="17.7109375" style="24" customWidth="1"/>
    <col min="6152" max="6152" width="8.140625" style="24" customWidth="1"/>
    <col min="6153" max="6153" width="10.28515625" style="24" customWidth="1"/>
    <col min="6154" max="6154" width="5.5703125" style="24" customWidth="1"/>
    <col min="6155" max="6155" width="8.5703125" style="24" customWidth="1"/>
    <col min="6156" max="6156" width="5.7109375" style="24" customWidth="1"/>
    <col min="6157" max="6157" width="18.85546875" style="24" customWidth="1"/>
    <col min="6158" max="6158" width="14.5703125" style="24" customWidth="1"/>
    <col min="6159" max="6159" width="17.140625" style="24" customWidth="1"/>
    <col min="6160" max="6160" width="16" style="24" customWidth="1"/>
    <col min="6161" max="6161" width="15" style="24" customWidth="1"/>
    <col min="6162" max="6162" width="13.5703125" style="24" customWidth="1"/>
    <col min="6163" max="6163" width="10.140625" style="24" customWidth="1"/>
    <col min="6164" max="6164" width="11.7109375" style="24" customWidth="1"/>
    <col min="6165" max="6165" width="10.28515625" style="24" customWidth="1"/>
    <col min="6166" max="6166" width="15.5703125" style="24" customWidth="1"/>
    <col min="6167" max="6167" width="12.140625" style="24" customWidth="1"/>
    <col min="6168" max="6168" width="14.140625" style="24" customWidth="1"/>
    <col min="6169" max="6169" width="13.85546875" style="24" customWidth="1"/>
    <col min="6170" max="6170" width="12.28515625" style="24" customWidth="1"/>
    <col min="6171" max="6171" width="9.85546875" style="24" bestFit="1" customWidth="1"/>
    <col min="6172" max="6172" width="10.42578125" style="24" customWidth="1"/>
    <col min="6173" max="6174" width="0" style="24" hidden="1" customWidth="1"/>
    <col min="6175" max="6175" width="13" style="24" customWidth="1"/>
    <col min="6176" max="6176" width="12" style="24" bestFit="1" customWidth="1"/>
    <col min="6177" max="6177" width="24.42578125" style="24" customWidth="1"/>
    <col min="6178" max="6179" width="9.140625" style="24"/>
    <col min="6180" max="6180" width="11.140625" style="24" bestFit="1" customWidth="1"/>
    <col min="6181" max="6181" width="12.85546875" style="24" bestFit="1" customWidth="1"/>
    <col min="6182" max="6182" width="9.140625" style="24"/>
    <col min="6183" max="6183" width="20.140625" style="24" customWidth="1"/>
    <col min="6184" max="6184" width="5" style="24" customWidth="1"/>
    <col min="6185" max="6185" width="0" style="24" hidden="1" customWidth="1"/>
    <col min="6186" max="6189" width="9.140625" style="24"/>
    <col min="6190" max="6190" width="10.7109375" style="24" customWidth="1"/>
    <col min="6191" max="6403" width="9.140625" style="24"/>
    <col min="6404" max="6404" width="5.5703125" style="24" customWidth="1"/>
    <col min="6405" max="6405" width="41.85546875" style="24" customWidth="1"/>
    <col min="6406" max="6406" width="26" style="24" customWidth="1"/>
    <col min="6407" max="6407" width="17.7109375" style="24" customWidth="1"/>
    <col min="6408" max="6408" width="8.140625" style="24" customWidth="1"/>
    <col min="6409" max="6409" width="10.28515625" style="24" customWidth="1"/>
    <col min="6410" max="6410" width="5.5703125" style="24" customWidth="1"/>
    <col min="6411" max="6411" width="8.5703125" style="24" customWidth="1"/>
    <col min="6412" max="6412" width="5.7109375" style="24" customWidth="1"/>
    <col min="6413" max="6413" width="18.85546875" style="24" customWidth="1"/>
    <col min="6414" max="6414" width="14.5703125" style="24" customWidth="1"/>
    <col min="6415" max="6415" width="17.140625" style="24" customWidth="1"/>
    <col min="6416" max="6416" width="16" style="24" customWidth="1"/>
    <col min="6417" max="6417" width="15" style="24" customWidth="1"/>
    <col min="6418" max="6418" width="13.5703125" style="24" customWidth="1"/>
    <col min="6419" max="6419" width="10.140625" style="24" customWidth="1"/>
    <col min="6420" max="6420" width="11.7109375" style="24" customWidth="1"/>
    <col min="6421" max="6421" width="10.28515625" style="24" customWidth="1"/>
    <col min="6422" max="6422" width="15.5703125" style="24" customWidth="1"/>
    <col min="6423" max="6423" width="12.140625" style="24" customWidth="1"/>
    <col min="6424" max="6424" width="14.140625" style="24" customWidth="1"/>
    <col min="6425" max="6425" width="13.85546875" style="24" customWidth="1"/>
    <col min="6426" max="6426" width="12.28515625" style="24" customWidth="1"/>
    <col min="6427" max="6427" width="9.85546875" style="24" bestFit="1" customWidth="1"/>
    <col min="6428" max="6428" width="10.42578125" style="24" customWidth="1"/>
    <col min="6429" max="6430" width="0" style="24" hidden="1" customWidth="1"/>
    <col min="6431" max="6431" width="13" style="24" customWidth="1"/>
    <col min="6432" max="6432" width="12" style="24" bestFit="1" customWidth="1"/>
    <col min="6433" max="6433" width="24.42578125" style="24" customWidth="1"/>
    <col min="6434" max="6435" width="9.140625" style="24"/>
    <col min="6436" max="6436" width="11.140625" style="24" bestFit="1" customWidth="1"/>
    <col min="6437" max="6437" width="12.85546875" style="24" bestFit="1" customWidth="1"/>
    <col min="6438" max="6438" width="9.140625" style="24"/>
    <col min="6439" max="6439" width="20.140625" style="24" customWidth="1"/>
    <col min="6440" max="6440" width="5" style="24" customWidth="1"/>
    <col min="6441" max="6441" width="0" style="24" hidden="1" customWidth="1"/>
    <col min="6442" max="6445" width="9.140625" style="24"/>
    <col min="6446" max="6446" width="10.7109375" style="24" customWidth="1"/>
    <col min="6447" max="6659" width="9.140625" style="24"/>
    <col min="6660" max="6660" width="5.5703125" style="24" customWidth="1"/>
    <col min="6661" max="6661" width="41.85546875" style="24" customWidth="1"/>
    <col min="6662" max="6662" width="26" style="24" customWidth="1"/>
    <col min="6663" max="6663" width="17.7109375" style="24" customWidth="1"/>
    <col min="6664" max="6664" width="8.140625" style="24" customWidth="1"/>
    <col min="6665" max="6665" width="10.28515625" style="24" customWidth="1"/>
    <col min="6666" max="6666" width="5.5703125" style="24" customWidth="1"/>
    <col min="6667" max="6667" width="8.5703125" style="24" customWidth="1"/>
    <col min="6668" max="6668" width="5.7109375" style="24" customWidth="1"/>
    <col min="6669" max="6669" width="18.85546875" style="24" customWidth="1"/>
    <col min="6670" max="6670" width="14.5703125" style="24" customWidth="1"/>
    <col min="6671" max="6671" width="17.140625" style="24" customWidth="1"/>
    <col min="6672" max="6672" width="16" style="24" customWidth="1"/>
    <col min="6673" max="6673" width="15" style="24" customWidth="1"/>
    <col min="6674" max="6674" width="13.5703125" style="24" customWidth="1"/>
    <col min="6675" max="6675" width="10.140625" style="24" customWidth="1"/>
    <col min="6676" max="6676" width="11.7109375" style="24" customWidth="1"/>
    <col min="6677" max="6677" width="10.28515625" style="24" customWidth="1"/>
    <col min="6678" max="6678" width="15.5703125" style="24" customWidth="1"/>
    <col min="6679" max="6679" width="12.140625" style="24" customWidth="1"/>
    <col min="6680" max="6680" width="14.140625" style="24" customWidth="1"/>
    <col min="6681" max="6681" width="13.85546875" style="24" customWidth="1"/>
    <col min="6682" max="6682" width="12.28515625" style="24" customWidth="1"/>
    <col min="6683" max="6683" width="9.85546875" style="24" bestFit="1" customWidth="1"/>
    <col min="6684" max="6684" width="10.42578125" style="24" customWidth="1"/>
    <col min="6685" max="6686" width="0" style="24" hidden="1" customWidth="1"/>
    <col min="6687" max="6687" width="13" style="24" customWidth="1"/>
    <col min="6688" max="6688" width="12" style="24" bestFit="1" customWidth="1"/>
    <col min="6689" max="6689" width="24.42578125" style="24" customWidth="1"/>
    <col min="6690" max="6691" width="9.140625" style="24"/>
    <col min="6692" max="6692" width="11.140625" style="24" bestFit="1" customWidth="1"/>
    <col min="6693" max="6693" width="12.85546875" style="24" bestFit="1" customWidth="1"/>
    <col min="6694" max="6694" width="9.140625" style="24"/>
    <col min="6695" max="6695" width="20.140625" style="24" customWidth="1"/>
    <col min="6696" max="6696" width="5" style="24" customWidth="1"/>
    <col min="6697" max="6697" width="0" style="24" hidden="1" customWidth="1"/>
    <col min="6698" max="6701" width="9.140625" style="24"/>
    <col min="6702" max="6702" width="10.7109375" style="24" customWidth="1"/>
    <col min="6703" max="6915" width="9.140625" style="24"/>
    <col min="6916" max="6916" width="5.5703125" style="24" customWidth="1"/>
    <col min="6917" max="6917" width="41.85546875" style="24" customWidth="1"/>
    <col min="6918" max="6918" width="26" style="24" customWidth="1"/>
    <col min="6919" max="6919" width="17.7109375" style="24" customWidth="1"/>
    <col min="6920" max="6920" width="8.140625" style="24" customWidth="1"/>
    <col min="6921" max="6921" width="10.28515625" style="24" customWidth="1"/>
    <col min="6922" max="6922" width="5.5703125" style="24" customWidth="1"/>
    <col min="6923" max="6923" width="8.5703125" style="24" customWidth="1"/>
    <col min="6924" max="6924" width="5.7109375" style="24" customWidth="1"/>
    <col min="6925" max="6925" width="18.85546875" style="24" customWidth="1"/>
    <col min="6926" max="6926" width="14.5703125" style="24" customWidth="1"/>
    <col min="6927" max="6927" width="17.140625" style="24" customWidth="1"/>
    <col min="6928" max="6928" width="16" style="24" customWidth="1"/>
    <col min="6929" max="6929" width="15" style="24" customWidth="1"/>
    <col min="6930" max="6930" width="13.5703125" style="24" customWidth="1"/>
    <col min="6931" max="6931" width="10.140625" style="24" customWidth="1"/>
    <col min="6932" max="6932" width="11.7109375" style="24" customWidth="1"/>
    <col min="6933" max="6933" width="10.28515625" style="24" customWidth="1"/>
    <col min="6934" max="6934" width="15.5703125" style="24" customWidth="1"/>
    <col min="6935" max="6935" width="12.140625" style="24" customWidth="1"/>
    <col min="6936" max="6936" width="14.140625" style="24" customWidth="1"/>
    <col min="6937" max="6937" width="13.85546875" style="24" customWidth="1"/>
    <col min="6938" max="6938" width="12.28515625" style="24" customWidth="1"/>
    <col min="6939" max="6939" width="9.85546875" style="24" bestFit="1" customWidth="1"/>
    <col min="6940" max="6940" width="10.42578125" style="24" customWidth="1"/>
    <col min="6941" max="6942" width="0" style="24" hidden="1" customWidth="1"/>
    <col min="6943" max="6943" width="13" style="24" customWidth="1"/>
    <col min="6944" max="6944" width="12" style="24" bestFit="1" customWidth="1"/>
    <col min="6945" max="6945" width="24.42578125" style="24" customWidth="1"/>
    <col min="6946" max="6947" width="9.140625" style="24"/>
    <col min="6948" max="6948" width="11.140625" style="24" bestFit="1" customWidth="1"/>
    <col min="6949" max="6949" width="12.85546875" style="24" bestFit="1" customWidth="1"/>
    <col min="6950" max="6950" width="9.140625" style="24"/>
    <col min="6951" max="6951" width="20.140625" style="24" customWidth="1"/>
    <col min="6952" max="6952" width="5" style="24" customWidth="1"/>
    <col min="6953" max="6953" width="0" style="24" hidden="1" customWidth="1"/>
    <col min="6954" max="6957" width="9.140625" style="24"/>
    <col min="6958" max="6958" width="10.7109375" style="24" customWidth="1"/>
    <col min="6959" max="7171" width="9.140625" style="24"/>
    <col min="7172" max="7172" width="5.5703125" style="24" customWidth="1"/>
    <col min="7173" max="7173" width="41.85546875" style="24" customWidth="1"/>
    <col min="7174" max="7174" width="26" style="24" customWidth="1"/>
    <col min="7175" max="7175" width="17.7109375" style="24" customWidth="1"/>
    <col min="7176" max="7176" width="8.140625" style="24" customWidth="1"/>
    <col min="7177" max="7177" width="10.28515625" style="24" customWidth="1"/>
    <col min="7178" max="7178" width="5.5703125" style="24" customWidth="1"/>
    <col min="7179" max="7179" width="8.5703125" style="24" customWidth="1"/>
    <col min="7180" max="7180" width="5.7109375" style="24" customWidth="1"/>
    <col min="7181" max="7181" width="18.85546875" style="24" customWidth="1"/>
    <col min="7182" max="7182" width="14.5703125" style="24" customWidth="1"/>
    <col min="7183" max="7183" width="17.140625" style="24" customWidth="1"/>
    <col min="7184" max="7184" width="16" style="24" customWidth="1"/>
    <col min="7185" max="7185" width="15" style="24" customWidth="1"/>
    <col min="7186" max="7186" width="13.5703125" style="24" customWidth="1"/>
    <col min="7187" max="7187" width="10.140625" style="24" customWidth="1"/>
    <col min="7188" max="7188" width="11.7109375" style="24" customWidth="1"/>
    <col min="7189" max="7189" width="10.28515625" style="24" customWidth="1"/>
    <col min="7190" max="7190" width="15.5703125" style="24" customWidth="1"/>
    <col min="7191" max="7191" width="12.140625" style="24" customWidth="1"/>
    <col min="7192" max="7192" width="14.140625" style="24" customWidth="1"/>
    <col min="7193" max="7193" width="13.85546875" style="24" customWidth="1"/>
    <col min="7194" max="7194" width="12.28515625" style="24" customWidth="1"/>
    <col min="7195" max="7195" width="9.85546875" style="24" bestFit="1" customWidth="1"/>
    <col min="7196" max="7196" width="10.42578125" style="24" customWidth="1"/>
    <col min="7197" max="7198" width="0" style="24" hidden="1" customWidth="1"/>
    <col min="7199" max="7199" width="13" style="24" customWidth="1"/>
    <col min="7200" max="7200" width="12" style="24" bestFit="1" customWidth="1"/>
    <col min="7201" max="7201" width="24.42578125" style="24" customWidth="1"/>
    <col min="7202" max="7203" width="9.140625" style="24"/>
    <col min="7204" max="7204" width="11.140625" style="24" bestFit="1" customWidth="1"/>
    <col min="7205" max="7205" width="12.85546875" style="24" bestFit="1" customWidth="1"/>
    <col min="7206" max="7206" width="9.140625" style="24"/>
    <col min="7207" max="7207" width="20.140625" style="24" customWidth="1"/>
    <col min="7208" max="7208" width="5" style="24" customWidth="1"/>
    <col min="7209" max="7209" width="0" style="24" hidden="1" customWidth="1"/>
    <col min="7210" max="7213" width="9.140625" style="24"/>
    <col min="7214" max="7214" width="10.7109375" style="24" customWidth="1"/>
    <col min="7215" max="7427" width="9.140625" style="24"/>
    <col min="7428" max="7428" width="5.5703125" style="24" customWidth="1"/>
    <col min="7429" max="7429" width="41.85546875" style="24" customWidth="1"/>
    <col min="7430" max="7430" width="26" style="24" customWidth="1"/>
    <col min="7431" max="7431" width="17.7109375" style="24" customWidth="1"/>
    <col min="7432" max="7432" width="8.140625" style="24" customWidth="1"/>
    <col min="7433" max="7433" width="10.28515625" style="24" customWidth="1"/>
    <col min="7434" max="7434" width="5.5703125" style="24" customWidth="1"/>
    <col min="7435" max="7435" width="8.5703125" style="24" customWidth="1"/>
    <col min="7436" max="7436" width="5.7109375" style="24" customWidth="1"/>
    <col min="7437" max="7437" width="18.85546875" style="24" customWidth="1"/>
    <col min="7438" max="7438" width="14.5703125" style="24" customWidth="1"/>
    <col min="7439" max="7439" width="17.140625" style="24" customWidth="1"/>
    <col min="7440" max="7440" width="16" style="24" customWidth="1"/>
    <col min="7441" max="7441" width="15" style="24" customWidth="1"/>
    <col min="7442" max="7442" width="13.5703125" style="24" customWidth="1"/>
    <col min="7443" max="7443" width="10.140625" style="24" customWidth="1"/>
    <col min="7444" max="7444" width="11.7109375" style="24" customWidth="1"/>
    <col min="7445" max="7445" width="10.28515625" style="24" customWidth="1"/>
    <col min="7446" max="7446" width="15.5703125" style="24" customWidth="1"/>
    <col min="7447" max="7447" width="12.140625" style="24" customWidth="1"/>
    <col min="7448" max="7448" width="14.140625" style="24" customWidth="1"/>
    <col min="7449" max="7449" width="13.85546875" style="24" customWidth="1"/>
    <col min="7450" max="7450" width="12.28515625" style="24" customWidth="1"/>
    <col min="7451" max="7451" width="9.85546875" style="24" bestFit="1" customWidth="1"/>
    <col min="7452" max="7452" width="10.42578125" style="24" customWidth="1"/>
    <col min="7453" max="7454" width="0" style="24" hidden="1" customWidth="1"/>
    <col min="7455" max="7455" width="13" style="24" customWidth="1"/>
    <col min="7456" max="7456" width="12" style="24" bestFit="1" customWidth="1"/>
    <col min="7457" max="7457" width="24.42578125" style="24" customWidth="1"/>
    <col min="7458" max="7459" width="9.140625" style="24"/>
    <col min="7460" max="7460" width="11.140625" style="24" bestFit="1" customWidth="1"/>
    <col min="7461" max="7461" width="12.85546875" style="24" bestFit="1" customWidth="1"/>
    <col min="7462" max="7462" width="9.140625" style="24"/>
    <col min="7463" max="7463" width="20.140625" style="24" customWidth="1"/>
    <col min="7464" max="7464" width="5" style="24" customWidth="1"/>
    <col min="7465" max="7465" width="0" style="24" hidden="1" customWidth="1"/>
    <col min="7466" max="7469" width="9.140625" style="24"/>
    <col min="7470" max="7470" width="10.7109375" style="24" customWidth="1"/>
    <col min="7471" max="7683" width="9.140625" style="24"/>
    <col min="7684" max="7684" width="5.5703125" style="24" customWidth="1"/>
    <col min="7685" max="7685" width="41.85546875" style="24" customWidth="1"/>
    <col min="7686" max="7686" width="26" style="24" customWidth="1"/>
    <col min="7687" max="7687" width="17.7109375" style="24" customWidth="1"/>
    <col min="7688" max="7688" width="8.140625" style="24" customWidth="1"/>
    <col min="7689" max="7689" width="10.28515625" style="24" customWidth="1"/>
    <col min="7690" max="7690" width="5.5703125" style="24" customWidth="1"/>
    <col min="7691" max="7691" width="8.5703125" style="24" customWidth="1"/>
    <col min="7692" max="7692" width="5.7109375" style="24" customWidth="1"/>
    <col min="7693" max="7693" width="18.85546875" style="24" customWidth="1"/>
    <col min="7694" max="7694" width="14.5703125" style="24" customWidth="1"/>
    <col min="7695" max="7695" width="17.140625" style="24" customWidth="1"/>
    <col min="7696" max="7696" width="16" style="24" customWidth="1"/>
    <col min="7697" max="7697" width="15" style="24" customWidth="1"/>
    <col min="7698" max="7698" width="13.5703125" style="24" customWidth="1"/>
    <col min="7699" max="7699" width="10.140625" style="24" customWidth="1"/>
    <col min="7700" max="7700" width="11.7109375" style="24" customWidth="1"/>
    <col min="7701" max="7701" width="10.28515625" style="24" customWidth="1"/>
    <col min="7702" max="7702" width="15.5703125" style="24" customWidth="1"/>
    <col min="7703" max="7703" width="12.140625" style="24" customWidth="1"/>
    <col min="7704" max="7704" width="14.140625" style="24" customWidth="1"/>
    <col min="7705" max="7705" width="13.85546875" style="24" customWidth="1"/>
    <col min="7706" max="7706" width="12.28515625" style="24" customWidth="1"/>
    <col min="7707" max="7707" width="9.85546875" style="24" bestFit="1" customWidth="1"/>
    <col min="7708" max="7708" width="10.42578125" style="24" customWidth="1"/>
    <col min="7709" max="7710" width="0" style="24" hidden="1" customWidth="1"/>
    <col min="7711" max="7711" width="13" style="24" customWidth="1"/>
    <col min="7712" max="7712" width="12" style="24" bestFit="1" customWidth="1"/>
    <col min="7713" max="7713" width="24.42578125" style="24" customWidth="1"/>
    <col min="7714" max="7715" width="9.140625" style="24"/>
    <col min="7716" max="7716" width="11.140625" style="24" bestFit="1" customWidth="1"/>
    <col min="7717" max="7717" width="12.85546875" style="24" bestFit="1" customWidth="1"/>
    <col min="7718" max="7718" width="9.140625" style="24"/>
    <col min="7719" max="7719" width="20.140625" style="24" customWidth="1"/>
    <col min="7720" max="7720" width="5" style="24" customWidth="1"/>
    <col min="7721" max="7721" width="0" style="24" hidden="1" customWidth="1"/>
    <col min="7722" max="7725" width="9.140625" style="24"/>
    <col min="7726" max="7726" width="10.7109375" style="24" customWidth="1"/>
    <col min="7727" max="7939" width="9.140625" style="24"/>
    <col min="7940" max="7940" width="5.5703125" style="24" customWidth="1"/>
    <col min="7941" max="7941" width="41.85546875" style="24" customWidth="1"/>
    <col min="7942" max="7942" width="26" style="24" customWidth="1"/>
    <col min="7943" max="7943" width="17.7109375" style="24" customWidth="1"/>
    <col min="7944" max="7944" width="8.140625" style="24" customWidth="1"/>
    <col min="7945" max="7945" width="10.28515625" style="24" customWidth="1"/>
    <col min="7946" max="7946" width="5.5703125" style="24" customWidth="1"/>
    <col min="7947" max="7947" width="8.5703125" style="24" customWidth="1"/>
    <col min="7948" max="7948" width="5.7109375" style="24" customWidth="1"/>
    <col min="7949" max="7949" width="18.85546875" style="24" customWidth="1"/>
    <col min="7950" max="7950" width="14.5703125" style="24" customWidth="1"/>
    <col min="7951" max="7951" width="17.140625" style="24" customWidth="1"/>
    <col min="7952" max="7952" width="16" style="24" customWidth="1"/>
    <col min="7953" max="7953" width="15" style="24" customWidth="1"/>
    <col min="7954" max="7954" width="13.5703125" style="24" customWidth="1"/>
    <col min="7955" max="7955" width="10.140625" style="24" customWidth="1"/>
    <col min="7956" max="7956" width="11.7109375" style="24" customWidth="1"/>
    <col min="7957" max="7957" width="10.28515625" style="24" customWidth="1"/>
    <col min="7958" max="7958" width="15.5703125" style="24" customWidth="1"/>
    <col min="7959" max="7959" width="12.140625" style="24" customWidth="1"/>
    <col min="7960" max="7960" width="14.140625" style="24" customWidth="1"/>
    <col min="7961" max="7961" width="13.85546875" style="24" customWidth="1"/>
    <col min="7962" max="7962" width="12.28515625" style="24" customWidth="1"/>
    <col min="7963" max="7963" width="9.85546875" style="24" bestFit="1" customWidth="1"/>
    <col min="7964" max="7964" width="10.42578125" style="24" customWidth="1"/>
    <col min="7965" max="7966" width="0" style="24" hidden="1" customWidth="1"/>
    <col min="7967" max="7967" width="13" style="24" customWidth="1"/>
    <col min="7968" max="7968" width="12" style="24" bestFit="1" customWidth="1"/>
    <col min="7969" max="7969" width="24.42578125" style="24" customWidth="1"/>
    <col min="7970" max="7971" width="9.140625" style="24"/>
    <col min="7972" max="7972" width="11.140625" style="24" bestFit="1" customWidth="1"/>
    <col min="7973" max="7973" width="12.85546875" style="24" bestFit="1" customWidth="1"/>
    <col min="7974" max="7974" width="9.140625" style="24"/>
    <col min="7975" max="7975" width="20.140625" style="24" customWidth="1"/>
    <col min="7976" max="7976" width="5" style="24" customWidth="1"/>
    <col min="7977" max="7977" width="0" style="24" hidden="1" customWidth="1"/>
    <col min="7978" max="7981" width="9.140625" style="24"/>
    <col min="7982" max="7982" width="10.7109375" style="24" customWidth="1"/>
    <col min="7983" max="8195" width="9.140625" style="24"/>
    <col min="8196" max="8196" width="5.5703125" style="24" customWidth="1"/>
    <col min="8197" max="8197" width="41.85546875" style="24" customWidth="1"/>
    <col min="8198" max="8198" width="26" style="24" customWidth="1"/>
    <col min="8199" max="8199" width="17.7109375" style="24" customWidth="1"/>
    <col min="8200" max="8200" width="8.140625" style="24" customWidth="1"/>
    <col min="8201" max="8201" width="10.28515625" style="24" customWidth="1"/>
    <col min="8202" max="8202" width="5.5703125" style="24" customWidth="1"/>
    <col min="8203" max="8203" width="8.5703125" style="24" customWidth="1"/>
    <col min="8204" max="8204" width="5.7109375" style="24" customWidth="1"/>
    <col min="8205" max="8205" width="18.85546875" style="24" customWidth="1"/>
    <col min="8206" max="8206" width="14.5703125" style="24" customWidth="1"/>
    <col min="8207" max="8207" width="17.140625" style="24" customWidth="1"/>
    <col min="8208" max="8208" width="16" style="24" customWidth="1"/>
    <col min="8209" max="8209" width="15" style="24" customWidth="1"/>
    <col min="8210" max="8210" width="13.5703125" style="24" customWidth="1"/>
    <col min="8211" max="8211" width="10.140625" style="24" customWidth="1"/>
    <col min="8212" max="8212" width="11.7109375" style="24" customWidth="1"/>
    <col min="8213" max="8213" width="10.28515625" style="24" customWidth="1"/>
    <col min="8214" max="8214" width="15.5703125" style="24" customWidth="1"/>
    <col min="8215" max="8215" width="12.140625" style="24" customWidth="1"/>
    <col min="8216" max="8216" width="14.140625" style="24" customWidth="1"/>
    <col min="8217" max="8217" width="13.85546875" style="24" customWidth="1"/>
    <col min="8218" max="8218" width="12.28515625" style="24" customWidth="1"/>
    <col min="8219" max="8219" width="9.85546875" style="24" bestFit="1" customWidth="1"/>
    <col min="8220" max="8220" width="10.42578125" style="24" customWidth="1"/>
    <col min="8221" max="8222" width="0" style="24" hidden="1" customWidth="1"/>
    <col min="8223" max="8223" width="13" style="24" customWidth="1"/>
    <col min="8224" max="8224" width="12" style="24" bestFit="1" customWidth="1"/>
    <col min="8225" max="8225" width="24.42578125" style="24" customWidth="1"/>
    <col min="8226" max="8227" width="9.140625" style="24"/>
    <col min="8228" max="8228" width="11.140625" style="24" bestFit="1" customWidth="1"/>
    <col min="8229" max="8229" width="12.85546875" style="24" bestFit="1" customWidth="1"/>
    <col min="8230" max="8230" width="9.140625" style="24"/>
    <col min="8231" max="8231" width="20.140625" style="24" customWidth="1"/>
    <col min="8232" max="8232" width="5" style="24" customWidth="1"/>
    <col min="8233" max="8233" width="0" style="24" hidden="1" customWidth="1"/>
    <col min="8234" max="8237" width="9.140625" style="24"/>
    <col min="8238" max="8238" width="10.7109375" style="24" customWidth="1"/>
    <col min="8239" max="8451" width="9.140625" style="24"/>
    <col min="8452" max="8452" width="5.5703125" style="24" customWidth="1"/>
    <col min="8453" max="8453" width="41.85546875" style="24" customWidth="1"/>
    <col min="8454" max="8454" width="26" style="24" customWidth="1"/>
    <col min="8455" max="8455" width="17.7109375" style="24" customWidth="1"/>
    <col min="8456" max="8456" width="8.140625" style="24" customWidth="1"/>
    <col min="8457" max="8457" width="10.28515625" style="24" customWidth="1"/>
    <col min="8458" max="8458" width="5.5703125" style="24" customWidth="1"/>
    <col min="8459" max="8459" width="8.5703125" style="24" customWidth="1"/>
    <col min="8460" max="8460" width="5.7109375" style="24" customWidth="1"/>
    <col min="8461" max="8461" width="18.85546875" style="24" customWidth="1"/>
    <col min="8462" max="8462" width="14.5703125" style="24" customWidth="1"/>
    <col min="8463" max="8463" width="17.140625" style="24" customWidth="1"/>
    <col min="8464" max="8464" width="16" style="24" customWidth="1"/>
    <col min="8465" max="8465" width="15" style="24" customWidth="1"/>
    <col min="8466" max="8466" width="13.5703125" style="24" customWidth="1"/>
    <col min="8467" max="8467" width="10.140625" style="24" customWidth="1"/>
    <col min="8468" max="8468" width="11.7109375" style="24" customWidth="1"/>
    <col min="8469" max="8469" width="10.28515625" style="24" customWidth="1"/>
    <col min="8470" max="8470" width="15.5703125" style="24" customWidth="1"/>
    <col min="8471" max="8471" width="12.140625" style="24" customWidth="1"/>
    <col min="8472" max="8472" width="14.140625" style="24" customWidth="1"/>
    <col min="8473" max="8473" width="13.85546875" style="24" customWidth="1"/>
    <col min="8474" max="8474" width="12.28515625" style="24" customWidth="1"/>
    <col min="8475" max="8475" width="9.85546875" style="24" bestFit="1" customWidth="1"/>
    <col min="8476" max="8476" width="10.42578125" style="24" customWidth="1"/>
    <col min="8477" max="8478" width="0" style="24" hidden="1" customWidth="1"/>
    <col min="8479" max="8479" width="13" style="24" customWidth="1"/>
    <col min="8480" max="8480" width="12" style="24" bestFit="1" customWidth="1"/>
    <col min="8481" max="8481" width="24.42578125" style="24" customWidth="1"/>
    <col min="8482" max="8483" width="9.140625" style="24"/>
    <col min="8484" max="8484" width="11.140625" style="24" bestFit="1" customWidth="1"/>
    <col min="8485" max="8485" width="12.85546875" style="24" bestFit="1" customWidth="1"/>
    <col min="8486" max="8486" width="9.140625" style="24"/>
    <col min="8487" max="8487" width="20.140625" style="24" customWidth="1"/>
    <col min="8488" max="8488" width="5" style="24" customWidth="1"/>
    <col min="8489" max="8489" width="0" style="24" hidden="1" customWidth="1"/>
    <col min="8490" max="8493" width="9.140625" style="24"/>
    <col min="8494" max="8494" width="10.7109375" style="24" customWidth="1"/>
    <col min="8495" max="8707" width="9.140625" style="24"/>
    <col min="8708" max="8708" width="5.5703125" style="24" customWidth="1"/>
    <col min="8709" max="8709" width="41.85546875" style="24" customWidth="1"/>
    <col min="8710" max="8710" width="26" style="24" customWidth="1"/>
    <col min="8711" max="8711" width="17.7109375" style="24" customWidth="1"/>
    <col min="8712" max="8712" width="8.140625" style="24" customWidth="1"/>
    <col min="8713" max="8713" width="10.28515625" style="24" customWidth="1"/>
    <col min="8714" max="8714" width="5.5703125" style="24" customWidth="1"/>
    <col min="8715" max="8715" width="8.5703125" style="24" customWidth="1"/>
    <col min="8716" max="8716" width="5.7109375" style="24" customWidth="1"/>
    <col min="8717" max="8717" width="18.85546875" style="24" customWidth="1"/>
    <col min="8718" max="8718" width="14.5703125" style="24" customWidth="1"/>
    <col min="8719" max="8719" width="17.140625" style="24" customWidth="1"/>
    <col min="8720" max="8720" width="16" style="24" customWidth="1"/>
    <col min="8721" max="8721" width="15" style="24" customWidth="1"/>
    <col min="8722" max="8722" width="13.5703125" style="24" customWidth="1"/>
    <col min="8723" max="8723" width="10.140625" style="24" customWidth="1"/>
    <col min="8724" max="8724" width="11.7109375" style="24" customWidth="1"/>
    <col min="8725" max="8725" width="10.28515625" style="24" customWidth="1"/>
    <col min="8726" max="8726" width="15.5703125" style="24" customWidth="1"/>
    <col min="8727" max="8727" width="12.140625" style="24" customWidth="1"/>
    <col min="8728" max="8728" width="14.140625" style="24" customWidth="1"/>
    <col min="8729" max="8729" width="13.85546875" style="24" customWidth="1"/>
    <col min="8730" max="8730" width="12.28515625" style="24" customWidth="1"/>
    <col min="8731" max="8731" width="9.85546875" style="24" bestFit="1" customWidth="1"/>
    <col min="8732" max="8732" width="10.42578125" style="24" customWidth="1"/>
    <col min="8733" max="8734" width="0" style="24" hidden="1" customWidth="1"/>
    <col min="8735" max="8735" width="13" style="24" customWidth="1"/>
    <col min="8736" max="8736" width="12" style="24" bestFit="1" customWidth="1"/>
    <col min="8737" max="8737" width="24.42578125" style="24" customWidth="1"/>
    <col min="8738" max="8739" width="9.140625" style="24"/>
    <col min="8740" max="8740" width="11.140625" style="24" bestFit="1" customWidth="1"/>
    <col min="8741" max="8741" width="12.85546875" style="24" bestFit="1" customWidth="1"/>
    <col min="8742" max="8742" width="9.140625" style="24"/>
    <col min="8743" max="8743" width="20.140625" style="24" customWidth="1"/>
    <col min="8744" max="8744" width="5" style="24" customWidth="1"/>
    <col min="8745" max="8745" width="0" style="24" hidden="1" customWidth="1"/>
    <col min="8746" max="8749" width="9.140625" style="24"/>
    <col min="8750" max="8750" width="10.7109375" style="24" customWidth="1"/>
    <col min="8751" max="8963" width="9.140625" style="24"/>
    <col min="8964" max="8964" width="5.5703125" style="24" customWidth="1"/>
    <col min="8965" max="8965" width="41.85546875" style="24" customWidth="1"/>
    <col min="8966" max="8966" width="26" style="24" customWidth="1"/>
    <col min="8967" max="8967" width="17.7109375" style="24" customWidth="1"/>
    <col min="8968" max="8968" width="8.140625" style="24" customWidth="1"/>
    <col min="8969" max="8969" width="10.28515625" style="24" customWidth="1"/>
    <col min="8970" max="8970" width="5.5703125" style="24" customWidth="1"/>
    <col min="8971" max="8971" width="8.5703125" style="24" customWidth="1"/>
    <col min="8972" max="8972" width="5.7109375" style="24" customWidth="1"/>
    <col min="8973" max="8973" width="18.85546875" style="24" customWidth="1"/>
    <col min="8974" max="8974" width="14.5703125" style="24" customWidth="1"/>
    <col min="8975" max="8975" width="17.140625" style="24" customWidth="1"/>
    <col min="8976" max="8976" width="16" style="24" customWidth="1"/>
    <col min="8977" max="8977" width="15" style="24" customWidth="1"/>
    <col min="8978" max="8978" width="13.5703125" style="24" customWidth="1"/>
    <col min="8979" max="8979" width="10.140625" style="24" customWidth="1"/>
    <col min="8980" max="8980" width="11.7109375" style="24" customWidth="1"/>
    <col min="8981" max="8981" width="10.28515625" style="24" customWidth="1"/>
    <col min="8982" max="8982" width="15.5703125" style="24" customWidth="1"/>
    <col min="8983" max="8983" width="12.140625" style="24" customWidth="1"/>
    <col min="8984" max="8984" width="14.140625" style="24" customWidth="1"/>
    <col min="8985" max="8985" width="13.85546875" style="24" customWidth="1"/>
    <col min="8986" max="8986" width="12.28515625" style="24" customWidth="1"/>
    <col min="8987" max="8987" width="9.85546875" style="24" bestFit="1" customWidth="1"/>
    <col min="8988" max="8988" width="10.42578125" style="24" customWidth="1"/>
    <col min="8989" max="8990" width="0" style="24" hidden="1" customWidth="1"/>
    <col min="8991" max="8991" width="13" style="24" customWidth="1"/>
    <col min="8992" max="8992" width="12" style="24" bestFit="1" customWidth="1"/>
    <col min="8993" max="8993" width="24.42578125" style="24" customWidth="1"/>
    <col min="8994" max="8995" width="9.140625" style="24"/>
    <col min="8996" max="8996" width="11.140625" style="24" bestFit="1" customWidth="1"/>
    <col min="8997" max="8997" width="12.85546875" style="24" bestFit="1" customWidth="1"/>
    <col min="8998" max="8998" width="9.140625" style="24"/>
    <col min="8999" max="8999" width="20.140625" style="24" customWidth="1"/>
    <col min="9000" max="9000" width="5" style="24" customWidth="1"/>
    <col min="9001" max="9001" width="0" style="24" hidden="1" customWidth="1"/>
    <col min="9002" max="9005" width="9.140625" style="24"/>
    <col min="9006" max="9006" width="10.7109375" style="24" customWidth="1"/>
    <col min="9007" max="9219" width="9.140625" style="24"/>
    <col min="9220" max="9220" width="5.5703125" style="24" customWidth="1"/>
    <col min="9221" max="9221" width="41.85546875" style="24" customWidth="1"/>
    <col min="9222" max="9222" width="26" style="24" customWidth="1"/>
    <col min="9223" max="9223" width="17.7109375" style="24" customWidth="1"/>
    <col min="9224" max="9224" width="8.140625" style="24" customWidth="1"/>
    <col min="9225" max="9225" width="10.28515625" style="24" customWidth="1"/>
    <col min="9226" max="9226" width="5.5703125" style="24" customWidth="1"/>
    <col min="9227" max="9227" width="8.5703125" style="24" customWidth="1"/>
    <col min="9228" max="9228" width="5.7109375" style="24" customWidth="1"/>
    <col min="9229" max="9229" width="18.85546875" style="24" customWidth="1"/>
    <col min="9230" max="9230" width="14.5703125" style="24" customWidth="1"/>
    <col min="9231" max="9231" width="17.140625" style="24" customWidth="1"/>
    <col min="9232" max="9232" width="16" style="24" customWidth="1"/>
    <col min="9233" max="9233" width="15" style="24" customWidth="1"/>
    <col min="9234" max="9234" width="13.5703125" style="24" customWidth="1"/>
    <col min="9235" max="9235" width="10.140625" style="24" customWidth="1"/>
    <col min="9236" max="9236" width="11.7109375" style="24" customWidth="1"/>
    <col min="9237" max="9237" width="10.28515625" style="24" customWidth="1"/>
    <col min="9238" max="9238" width="15.5703125" style="24" customWidth="1"/>
    <col min="9239" max="9239" width="12.140625" style="24" customWidth="1"/>
    <col min="9240" max="9240" width="14.140625" style="24" customWidth="1"/>
    <col min="9241" max="9241" width="13.85546875" style="24" customWidth="1"/>
    <col min="9242" max="9242" width="12.28515625" style="24" customWidth="1"/>
    <col min="9243" max="9243" width="9.85546875" style="24" bestFit="1" customWidth="1"/>
    <col min="9244" max="9244" width="10.42578125" style="24" customWidth="1"/>
    <col min="9245" max="9246" width="0" style="24" hidden="1" customWidth="1"/>
    <col min="9247" max="9247" width="13" style="24" customWidth="1"/>
    <col min="9248" max="9248" width="12" style="24" bestFit="1" customWidth="1"/>
    <col min="9249" max="9249" width="24.42578125" style="24" customWidth="1"/>
    <col min="9250" max="9251" width="9.140625" style="24"/>
    <col min="9252" max="9252" width="11.140625" style="24" bestFit="1" customWidth="1"/>
    <col min="9253" max="9253" width="12.85546875" style="24" bestFit="1" customWidth="1"/>
    <col min="9254" max="9254" width="9.140625" style="24"/>
    <col min="9255" max="9255" width="20.140625" style="24" customWidth="1"/>
    <col min="9256" max="9256" width="5" style="24" customWidth="1"/>
    <col min="9257" max="9257" width="0" style="24" hidden="1" customWidth="1"/>
    <col min="9258" max="9261" width="9.140625" style="24"/>
    <col min="9262" max="9262" width="10.7109375" style="24" customWidth="1"/>
    <col min="9263" max="9475" width="9.140625" style="24"/>
    <col min="9476" max="9476" width="5.5703125" style="24" customWidth="1"/>
    <col min="9477" max="9477" width="41.85546875" style="24" customWidth="1"/>
    <col min="9478" max="9478" width="26" style="24" customWidth="1"/>
    <col min="9479" max="9479" width="17.7109375" style="24" customWidth="1"/>
    <col min="9480" max="9480" width="8.140625" style="24" customWidth="1"/>
    <col min="9481" max="9481" width="10.28515625" style="24" customWidth="1"/>
    <col min="9482" max="9482" width="5.5703125" style="24" customWidth="1"/>
    <col min="9483" max="9483" width="8.5703125" style="24" customWidth="1"/>
    <col min="9484" max="9484" width="5.7109375" style="24" customWidth="1"/>
    <col min="9485" max="9485" width="18.85546875" style="24" customWidth="1"/>
    <col min="9486" max="9486" width="14.5703125" style="24" customWidth="1"/>
    <col min="9487" max="9487" width="17.140625" style="24" customWidth="1"/>
    <col min="9488" max="9488" width="16" style="24" customWidth="1"/>
    <col min="9489" max="9489" width="15" style="24" customWidth="1"/>
    <col min="9490" max="9490" width="13.5703125" style="24" customWidth="1"/>
    <col min="9491" max="9491" width="10.140625" style="24" customWidth="1"/>
    <col min="9492" max="9492" width="11.7109375" style="24" customWidth="1"/>
    <col min="9493" max="9493" width="10.28515625" style="24" customWidth="1"/>
    <col min="9494" max="9494" width="15.5703125" style="24" customWidth="1"/>
    <col min="9495" max="9495" width="12.140625" style="24" customWidth="1"/>
    <col min="9496" max="9496" width="14.140625" style="24" customWidth="1"/>
    <col min="9497" max="9497" width="13.85546875" style="24" customWidth="1"/>
    <col min="9498" max="9498" width="12.28515625" style="24" customWidth="1"/>
    <col min="9499" max="9499" width="9.85546875" style="24" bestFit="1" customWidth="1"/>
    <col min="9500" max="9500" width="10.42578125" style="24" customWidth="1"/>
    <col min="9501" max="9502" width="0" style="24" hidden="1" customWidth="1"/>
    <col min="9503" max="9503" width="13" style="24" customWidth="1"/>
    <col min="9504" max="9504" width="12" style="24" bestFit="1" customWidth="1"/>
    <col min="9505" max="9505" width="24.42578125" style="24" customWidth="1"/>
    <col min="9506" max="9507" width="9.140625" style="24"/>
    <col min="9508" max="9508" width="11.140625" style="24" bestFit="1" customWidth="1"/>
    <col min="9509" max="9509" width="12.85546875" style="24" bestFit="1" customWidth="1"/>
    <col min="9510" max="9510" width="9.140625" style="24"/>
    <col min="9511" max="9511" width="20.140625" style="24" customWidth="1"/>
    <col min="9512" max="9512" width="5" style="24" customWidth="1"/>
    <col min="9513" max="9513" width="0" style="24" hidden="1" customWidth="1"/>
    <col min="9514" max="9517" width="9.140625" style="24"/>
    <col min="9518" max="9518" width="10.7109375" style="24" customWidth="1"/>
    <col min="9519" max="9731" width="9.140625" style="24"/>
    <col min="9732" max="9732" width="5.5703125" style="24" customWidth="1"/>
    <col min="9733" max="9733" width="41.85546875" style="24" customWidth="1"/>
    <col min="9734" max="9734" width="26" style="24" customWidth="1"/>
    <col min="9735" max="9735" width="17.7109375" style="24" customWidth="1"/>
    <col min="9736" max="9736" width="8.140625" style="24" customWidth="1"/>
    <col min="9737" max="9737" width="10.28515625" style="24" customWidth="1"/>
    <col min="9738" max="9738" width="5.5703125" style="24" customWidth="1"/>
    <col min="9739" max="9739" width="8.5703125" style="24" customWidth="1"/>
    <col min="9740" max="9740" width="5.7109375" style="24" customWidth="1"/>
    <col min="9741" max="9741" width="18.85546875" style="24" customWidth="1"/>
    <col min="9742" max="9742" width="14.5703125" style="24" customWidth="1"/>
    <col min="9743" max="9743" width="17.140625" style="24" customWidth="1"/>
    <col min="9744" max="9744" width="16" style="24" customWidth="1"/>
    <col min="9745" max="9745" width="15" style="24" customWidth="1"/>
    <col min="9746" max="9746" width="13.5703125" style="24" customWidth="1"/>
    <col min="9747" max="9747" width="10.140625" style="24" customWidth="1"/>
    <col min="9748" max="9748" width="11.7109375" style="24" customWidth="1"/>
    <col min="9749" max="9749" width="10.28515625" style="24" customWidth="1"/>
    <col min="9750" max="9750" width="15.5703125" style="24" customWidth="1"/>
    <col min="9751" max="9751" width="12.140625" style="24" customWidth="1"/>
    <col min="9752" max="9752" width="14.140625" style="24" customWidth="1"/>
    <col min="9753" max="9753" width="13.85546875" style="24" customWidth="1"/>
    <col min="9754" max="9754" width="12.28515625" style="24" customWidth="1"/>
    <col min="9755" max="9755" width="9.85546875" style="24" bestFit="1" customWidth="1"/>
    <col min="9756" max="9756" width="10.42578125" style="24" customWidth="1"/>
    <col min="9757" max="9758" width="0" style="24" hidden="1" customWidth="1"/>
    <col min="9759" max="9759" width="13" style="24" customWidth="1"/>
    <col min="9760" max="9760" width="12" style="24" bestFit="1" customWidth="1"/>
    <col min="9761" max="9761" width="24.42578125" style="24" customWidth="1"/>
    <col min="9762" max="9763" width="9.140625" style="24"/>
    <col min="9764" max="9764" width="11.140625" style="24" bestFit="1" customWidth="1"/>
    <col min="9765" max="9765" width="12.85546875" style="24" bestFit="1" customWidth="1"/>
    <col min="9766" max="9766" width="9.140625" style="24"/>
    <col min="9767" max="9767" width="20.140625" style="24" customWidth="1"/>
    <col min="9768" max="9768" width="5" style="24" customWidth="1"/>
    <col min="9769" max="9769" width="0" style="24" hidden="1" customWidth="1"/>
    <col min="9770" max="9773" width="9.140625" style="24"/>
    <col min="9774" max="9774" width="10.7109375" style="24" customWidth="1"/>
    <col min="9775" max="9987" width="9.140625" style="24"/>
    <col min="9988" max="9988" width="5.5703125" style="24" customWidth="1"/>
    <col min="9989" max="9989" width="41.85546875" style="24" customWidth="1"/>
    <col min="9990" max="9990" width="26" style="24" customWidth="1"/>
    <col min="9991" max="9991" width="17.7109375" style="24" customWidth="1"/>
    <col min="9992" max="9992" width="8.140625" style="24" customWidth="1"/>
    <col min="9993" max="9993" width="10.28515625" style="24" customWidth="1"/>
    <col min="9994" max="9994" width="5.5703125" style="24" customWidth="1"/>
    <col min="9995" max="9995" width="8.5703125" style="24" customWidth="1"/>
    <col min="9996" max="9996" width="5.7109375" style="24" customWidth="1"/>
    <col min="9997" max="9997" width="18.85546875" style="24" customWidth="1"/>
    <col min="9998" max="9998" width="14.5703125" style="24" customWidth="1"/>
    <col min="9999" max="9999" width="17.140625" style="24" customWidth="1"/>
    <col min="10000" max="10000" width="16" style="24" customWidth="1"/>
    <col min="10001" max="10001" width="15" style="24" customWidth="1"/>
    <col min="10002" max="10002" width="13.5703125" style="24" customWidth="1"/>
    <col min="10003" max="10003" width="10.140625" style="24" customWidth="1"/>
    <col min="10004" max="10004" width="11.7109375" style="24" customWidth="1"/>
    <col min="10005" max="10005" width="10.28515625" style="24" customWidth="1"/>
    <col min="10006" max="10006" width="15.5703125" style="24" customWidth="1"/>
    <col min="10007" max="10007" width="12.140625" style="24" customWidth="1"/>
    <col min="10008" max="10008" width="14.140625" style="24" customWidth="1"/>
    <col min="10009" max="10009" width="13.85546875" style="24" customWidth="1"/>
    <col min="10010" max="10010" width="12.28515625" style="24" customWidth="1"/>
    <col min="10011" max="10011" width="9.85546875" style="24" bestFit="1" customWidth="1"/>
    <col min="10012" max="10012" width="10.42578125" style="24" customWidth="1"/>
    <col min="10013" max="10014" width="0" style="24" hidden="1" customWidth="1"/>
    <col min="10015" max="10015" width="13" style="24" customWidth="1"/>
    <col min="10016" max="10016" width="12" style="24" bestFit="1" customWidth="1"/>
    <col min="10017" max="10017" width="24.42578125" style="24" customWidth="1"/>
    <col min="10018" max="10019" width="9.140625" style="24"/>
    <col min="10020" max="10020" width="11.140625" style="24" bestFit="1" customWidth="1"/>
    <col min="10021" max="10021" width="12.85546875" style="24" bestFit="1" customWidth="1"/>
    <col min="10022" max="10022" width="9.140625" style="24"/>
    <col min="10023" max="10023" width="20.140625" style="24" customWidth="1"/>
    <col min="10024" max="10024" width="5" style="24" customWidth="1"/>
    <col min="10025" max="10025" width="0" style="24" hidden="1" customWidth="1"/>
    <col min="10026" max="10029" width="9.140625" style="24"/>
    <col min="10030" max="10030" width="10.7109375" style="24" customWidth="1"/>
    <col min="10031" max="10243" width="9.140625" style="24"/>
    <col min="10244" max="10244" width="5.5703125" style="24" customWidth="1"/>
    <col min="10245" max="10245" width="41.85546875" style="24" customWidth="1"/>
    <col min="10246" max="10246" width="26" style="24" customWidth="1"/>
    <col min="10247" max="10247" width="17.7109375" style="24" customWidth="1"/>
    <col min="10248" max="10248" width="8.140625" style="24" customWidth="1"/>
    <col min="10249" max="10249" width="10.28515625" style="24" customWidth="1"/>
    <col min="10250" max="10250" width="5.5703125" style="24" customWidth="1"/>
    <col min="10251" max="10251" width="8.5703125" style="24" customWidth="1"/>
    <col min="10252" max="10252" width="5.7109375" style="24" customWidth="1"/>
    <col min="10253" max="10253" width="18.85546875" style="24" customWidth="1"/>
    <col min="10254" max="10254" width="14.5703125" style="24" customWidth="1"/>
    <col min="10255" max="10255" width="17.140625" style="24" customWidth="1"/>
    <col min="10256" max="10256" width="16" style="24" customWidth="1"/>
    <col min="10257" max="10257" width="15" style="24" customWidth="1"/>
    <col min="10258" max="10258" width="13.5703125" style="24" customWidth="1"/>
    <col min="10259" max="10259" width="10.140625" style="24" customWidth="1"/>
    <col min="10260" max="10260" width="11.7109375" style="24" customWidth="1"/>
    <col min="10261" max="10261" width="10.28515625" style="24" customWidth="1"/>
    <col min="10262" max="10262" width="15.5703125" style="24" customWidth="1"/>
    <col min="10263" max="10263" width="12.140625" style="24" customWidth="1"/>
    <col min="10264" max="10264" width="14.140625" style="24" customWidth="1"/>
    <col min="10265" max="10265" width="13.85546875" style="24" customWidth="1"/>
    <col min="10266" max="10266" width="12.28515625" style="24" customWidth="1"/>
    <col min="10267" max="10267" width="9.85546875" style="24" bestFit="1" customWidth="1"/>
    <col min="10268" max="10268" width="10.42578125" style="24" customWidth="1"/>
    <col min="10269" max="10270" width="0" style="24" hidden="1" customWidth="1"/>
    <col min="10271" max="10271" width="13" style="24" customWidth="1"/>
    <col min="10272" max="10272" width="12" style="24" bestFit="1" customWidth="1"/>
    <col min="10273" max="10273" width="24.42578125" style="24" customWidth="1"/>
    <col min="10274" max="10275" width="9.140625" style="24"/>
    <col min="10276" max="10276" width="11.140625" style="24" bestFit="1" customWidth="1"/>
    <col min="10277" max="10277" width="12.85546875" style="24" bestFit="1" customWidth="1"/>
    <col min="10278" max="10278" width="9.140625" style="24"/>
    <col min="10279" max="10279" width="20.140625" style="24" customWidth="1"/>
    <col min="10280" max="10280" width="5" style="24" customWidth="1"/>
    <col min="10281" max="10281" width="0" style="24" hidden="1" customWidth="1"/>
    <col min="10282" max="10285" width="9.140625" style="24"/>
    <col min="10286" max="10286" width="10.7109375" style="24" customWidth="1"/>
    <col min="10287" max="10499" width="9.140625" style="24"/>
    <col min="10500" max="10500" width="5.5703125" style="24" customWidth="1"/>
    <col min="10501" max="10501" width="41.85546875" style="24" customWidth="1"/>
    <col min="10502" max="10502" width="26" style="24" customWidth="1"/>
    <col min="10503" max="10503" width="17.7109375" style="24" customWidth="1"/>
    <col min="10504" max="10504" width="8.140625" style="24" customWidth="1"/>
    <col min="10505" max="10505" width="10.28515625" style="24" customWidth="1"/>
    <col min="10506" max="10506" width="5.5703125" style="24" customWidth="1"/>
    <col min="10507" max="10507" width="8.5703125" style="24" customWidth="1"/>
    <col min="10508" max="10508" width="5.7109375" style="24" customWidth="1"/>
    <col min="10509" max="10509" width="18.85546875" style="24" customWidth="1"/>
    <col min="10510" max="10510" width="14.5703125" style="24" customWidth="1"/>
    <col min="10511" max="10511" width="17.140625" style="24" customWidth="1"/>
    <col min="10512" max="10512" width="16" style="24" customWidth="1"/>
    <col min="10513" max="10513" width="15" style="24" customWidth="1"/>
    <col min="10514" max="10514" width="13.5703125" style="24" customWidth="1"/>
    <col min="10515" max="10515" width="10.140625" style="24" customWidth="1"/>
    <col min="10516" max="10516" width="11.7109375" style="24" customWidth="1"/>
    <col min="10517" max="10517" width="10.28515625" style="24" customWidth="1"/>
    <col min="10518" max="10518" width="15.5703125" style="24" customWidth="1"/>
    <col min="10519" max="10519" width="12.140625" style="24" customWidth="1"/>
    <col min="10520" max="10520" width="14.140625" style="24" customWidth="1"/>
    <col min="10521" max="10521" width="13.85546875" style="24" customWidth="1"/>
    <col min="10522" max="10522" width="12.28515625" style="24" customWidth="1"/>
    <col min="10523" max="10523" width="9.85546875" style="24" bestFit="1" customWidth="1"/>
    <col min="10524" max="10524" width="10.42578125" style="24" customWidth="1"/>
    <col min="10525" max="10526" width="0" style="24" hidden="1" customWidth="1"/>
    <col min="10527" max="10527" width="13" style="24" customWidth="1"/>
    <col min="10528" max="10528" width="12" style="24" bestFit="1" customWidth="1"/>
    <col min="10529" max="10529" width="24.42578125" style="24" customWidth="1"/>
    <col min="10530" max="10531" width="9.140625" style="24"/>
    <col min="10532" max="10532" width="11.140625" style="24" bestFit="1" customWidth="1"/>
    <col min="10533" max="10533" width="12.85546875" style="24" bestFit="1" customWidth="1"/>
    <col min="10534" max="10534" width="9.140625" style="24"/>
    <col min="10535" max="10535" width="20.140625" style="24" customWidth="1"/>
    <col min="10536" max="10536" width="5" style="24" customWidth="1"/>
    <col min="10537" max="10537" width="0" style="24" hidden="1" customWidth="1"/>
    <col min="10538" max="10541" width="9.140625" style="24"/>
    <col min="10542" max="10542" width="10.7109375" style="24" customWidth="1"/>
    <col min="10543" max="10755" width="9.140625" style="24"/>
    <col min="10756" max="10756" width="5.5703125" style="24" customWidth="1"/>
    <col min="10757" max="10757" width="41.85546875" style="24" customWidth="1"/>
    <col min="10758" max="10758" width="26" style="24" customWidth="1"/>
    <col min="10759" max="10759" width="17.7109375" style="24" customWidth="1"/>
    <col min="10760" max="10760" width="8.140625" style="24" customWidth="1"/>
    <col min="10761" max="10761" width="10.28515625" style="24" customWidth="1"/>
    <col min="10762" max="10762" width="5.5703125" style="24" customWidth="1"/>
    <col min="10763" max="10763" width="8.5703125" style="24" customWidth="1"/>
    <col min="10764" max="10764" width="5.7109375" style="24" customWidth="1"/>
    <col min="10765" max="10765" width="18.85546875" style="24" customWidth="1"/>
    <col min="10766" max="10766" width="14.5703125" style="24" customWidth="1"/>
    <col min="10767" max="10767" width="17.140625" style="24" customWidth="1"/>
    <col min="10768" max="10768" width="16" style="24" customWidth="1"/>
    <col min="10769" max="10769" width="15" style="24" customWidth="1"/>
    <col min="10770" max="10770" width="13.5703125" style="24" customWidth="1"/>
    <col min="10771" max="10771" width="10.140625" style="24" customWidth="1"/>
    <col min="10772" max="10772" width="11.7109375" style="24" customWidth="1"/>
    <col min="10773" max="10773" width="10.28515625" style="24" customWidth="1"/>
    <col min="10774" max="10774" width="15.5703125" style="24" customWidth="1"/>
    <col min="10775" max="10775" width="12.140625" style="24" customWidth="1"/>
    <col min="10776" max="10776" width="14.140625" style="24" customWidth="1"/>
    <col min="10777" max="10777" width="13.85546875" style="24" customWidth="1"/>
    <col min="10778" max="10778" width="12.28515625" style="24" customWidth="1"/>
    <col min="10779" max="10779" width="9.85546875" style="24" bestFit="1" customWidth="1"/>
    <col min="10780" max="10780" width="10.42578125" style="24" customWidth="1"/>
    <col min="10781" max="10782" width="0" style="24" hidden="1" customWidth="1"/>
    <col min="10783" max="10783" width="13" style="24" customWidth="1"/>
    <col min="10784" max="10784" width="12" style="24" bestFit="1" customWidth="1"/>
    <col min="10785" max="10785" width="24.42578125" style="24" customWidth="1"/>
    <col min="10786" max="10787" width="9.140625" style="24"/>
    <col min="10788" max="10788" width="11.140625" style="24" bestFit="1" customWidth="1"/>
    <col min="10789" max="10789" width="12.85546875" style="24" bestFit="1" customWidth="1"/>
    <col min="10790" max="10790" width="9.140625" style="24"/>
    <col min="10791" max="10791" width="20.140625" style="24" customWidth="1"/>
    <col min="10792" max="10792" width="5" style="24" customWidth="1"/>
    <col min="10793" max="10793" width="0" style="24" hidden="1" customWidth="1"/>
    <col min="10794" max="10797" width="9.140625" style="24"/>
    <col min="10798" max="10798" width="10.7109375" style="24" customWidth="1"/>
    <col min="10799" max="11011" width="9.140625" style="24"/>
    <col min="11012" max="11012" width="5.5703125" style="24" customWidth="1"/>
    <col min="11013" max="11013" width="41.85546875" style="24" customWidth="1"/>
    <col min="11014" max="11014" width="26" style="24" customWidth="1"/>
    <col min="11015" max="11015" width="17.7109375" style="24" customWidth="1"/>
    <col min="11016" max="11016" width="8.140625" style="24" customWidth="1"/>
    <col min="11017" max="11017" width="10.28515625" style="24" customWidth="1"/>
    <col min="11018" max="11018" width="5.5703125" style="24" customWidth="1"/>
    <col min="11019" max="11019" width="8.5703125" style="24" customWidth="1"/>
    <col min="11020" max="11020" width="5.7109375" style="24" customWidth="1"/>
    <col min="11021" max="11021" width="18.85546875" style="24" customWidth="1"/>
    <col min="11022" max="11022" width="14.5703125" style="24" customWidth="1"/>
    <col min="11023" max="11023" width="17.140625" style="24" customWidth="1"/>
    <col min="11024" max="11024" width="16" style="24" customWidth="1"/>
    <col min="11025" max="11025" width="15" style="24" customWidth="1"/>
    <col min="11026" max="11026" width="13.5703125" style="24" customWidth="1"/>
    <col min="11027" max="11027" width="10.140625" style="24" customWidth="1"/>
    <col min="11028" max="11028" width="11.7109375" style="24" customWidth="1"/>
    <col min="11029" max="11029" width="10.28515625" style="24" customWidth="1"/>
    <col min="11030" max="11030" width="15.5703125" style="24" customWidth="1"/>
    <col min="11031" max="11031" width="12.140625" style="24" customWidth="1"/>
    <col min="11032" max="11032" width="14.140625" style="24" customWidth="1"/>
    <col min="11033" max="11033" width="13.85546875" style="24" customWidth="1"/>
    <col min="11034" max="11034" width="12.28515625" style="24" customWidth="1"/>
    <col min="11035" max="11035" width="9.85546875" style="24" bestFit="1" customWidth="1"/>
    <col min="11036" max="11036" width="10.42578125" style="24" customWidth="1"/>
    <col min="11037" max="11038" width="0" style="24" hidden="1" customWidth="1"/>
    <col min="11039" max="11039" width="13" style="24" customWidth="1"/>
    <col min="11040" max="11040" width="12" style="24" bestFit="1" customWidth="1"/>
    <col min="11041" max="11041" width="24.42578125" style="24" customWidth="1"/>
    <col min="11042" max="11043" width="9.140625" style="24"/>
    <col min="11044" max="11044" width="11.140625" style="24" bestFit="1" customWidth="1"/>
    <col min="11045" max="11045" width="12.85546875" style="24" bestFit="1" customWidth="1"/>
    <col min="11046" max="11046" width="9.140625" style="24"/>
    <col min="11047" max="11047" width="20.140625" style="24" customWidth="1"/>
    <col min="11048" max="11048" width="5" style="24" customWidth="1"/>
    <col min="11049" max="11049" width="0" style="24" hidden="1" customWidth="1"/>
    <col min="11050" max="11053" width="9.140625" style="24"/>
    <col min="11054" max="11054" width="10.7109375" style="24" customWidth="1"/>
    <col min="11055" max="11267" width="9.140625" style="24"/>
    <col min="11268" max="11268" width="5.5703125" style="24" customWidth="1"/>
    <col min="11269" max="11269" width="41.85546875" style="24" customWidth="1"/>
    <col min="11270" max="11270" width="26" style="24" customWidth="1"/>
    <col min="11271" max="11271" width="17.7109375" style="24" customWidth="1"/>
    <col min="11272" max="11272" width="8.140625" style="24" customWidth="1"/>
    <col min="11273" max="11273" width="10.28515625" style="24" customWidth="1"/>
    <col min="11274" max="11274" width="5.5703125" style="24" customWidth="1"/>
    <col min="11275" max="11275" width="8.5703125" style="24" customWidth="1"/>
    <col min="11276" max="11276" width="5.7109375" style="24" customWidth="1"/>
    <col min="11277" max="11277" width="18.85546875" style="24" customWidth="1"/>
    <col min="11278" max="11278" width="14.5703125" style="24" customWidth="1"/>
    <col min="11279" max="11279" width="17.140625" style="24" customWidth="1"/>
    <col min="11280" max="11280" width="16" style="24" customWidth="1"/>
    <col min="11281" max="11281" width="15" style="24" customWidth="1"/>
    <col min="11282" max="11282" width="13.5703125" style="24" customWidth="1"/>
    <col min="11283" max="11283" width="10.140625" style="24" customWidth="1"/>
    <col min="11284" max="11284" width="11.7109375" style="24" customWidth="1"/>
    <col min="11285" max="11285" width="10.28515625" style="24" customWidth="1"/>
    <col min="11286" max="11286" width="15.5703125" style="24" customWidth="1"/>
    <col min="11287" max="11287" width="12.140625" style="24" customWidth="1"/>
    <col min="11288" max="11288" width="14.140625" style="24" customWidth="1"/>
    <col min="11289" max="11289" width="13.85546875" style="24" customWidth="1"/>
    <col min="11290" max="11290" width="12.28515625" style="24" customWidth="1"/>
    <col min="11291" max="11291" width="9.85546875" style="24" bestFit="1" customWidth="1"/>
    <col min="11292" max="11292" width="10.42578125" style="24" customWidth="1"/>
    <col min="11293" max="11294" width="0" style="24" hidden="1" customWidth="1"/>
    <col min="11295" max="11295" width="13" style="24" customWidth="1"/>
    <col min="11296" max="11296" width="12" style="24" bestFit="1" customWidth="1"/>
    <col min="11297" max="11297" width="24.42578125" style="24" customWidth="1"/>
    <col min="11298" max="11299" width="9.140625" style="24"/>
    <col min="11300" max="11300" width="11.140625" style="24" bestFit="1" customWidth="1"/>
    <col min="11301" max="11301" width="12.85546875" style="24" bestFit="1" customWidth="1"/>
    <col min="11302" max="11302" width="9.140625" style="24"/>
    <col min="11303" max="11303" width="20.140625" style="24" customWidth="1"/>
    <col min="11304" max="11304" width="5" style="24" customWidth="1"/>
    <col min="11305" max="11305" width="0" style="24" hidden="1" customWidth="1"/>
    <col min="11306" max="11309" width="9.140625" style="24"/>
    <col min="11310" max="11310" width="10.7109375" style="24" customWidth="1"/>
    <col min="11311" max="11523" width="9.140625" style="24"/>
    <col min="11524" max="11524" width="5.5703125" style="24" customWidth="1"/>
    <col min="11525" max="11525" width="41.85546875" style="24" customWidth="1"/>
    <col min="11526" max="11526" width="26" style="24" customWidth="1"/>
    <col min="11527" max="11527" width="17.7109375" style="24" customWidth="1"/>
    <col min="11528" max="11528" width="8.140625" style="24" customWidth="1"/>
    <col min="11529" max="11529" width="10.28515625" style="24" customWidth="1"/>
    <col min="11530" max="11530" width="5.5703125" style="24" customWidth="1"/>
    <col min="11531" max="11531" width="8.5703125" style="24" customWidth="1"/>
    <col min="11532" max="11532" width="5.7109375" style="24" customWidth="1"/>
    <col min="11533" max="11533" width="18.85546875" style="24" customWidth="1"/>
    <col min="11534" max="11534" width="14.5703125" style="24" customWidth="1"/>
    <col min="11535" max="11535" width="17.140625" style="24" customWidth="1"/>
    <col min="11536" max="11536" width="16" style="24" customWidth="1"/>
    <col min="11537" max="11537" width="15" style="24" customWidth="1"/>
    <col min="11538" max="11538" width="13.5703125" style="24" customWidth="1"/>
    <col min="11539" max="11539" width="10.140625" style="24" customWidth="1"/>
    <col min="11540" max="11540" width="11.7109375" style="24" customWidth="1"/>
    <col min="11541" max="11541" width="10.28515625" style="24" customWidth="1"/>
    <col min="11542" max="11542" width="15.5703125" style="24" customWidth="1"/>
    <col min="11543" max="11543" width="12.140625" style="24" customWidth="1"/>
    <col min="11544" max="11544" width="14.140625" style="24" customWidth="1"/>
    <col min="11545" max="11545" width="13.85546875" style="24" customWidth="1"/>
    <col min="11546" max="11546" width="12.28515625" style="24" customWidth="1"/>
    <col min="11547" max="11547" width="9.85546875" style="24" bestFit="1" customWidth="1"/>
    <col min="11548" max="11548" width="10.42578125" style="24" customWidth="1"/>
    <col min="11549" max="11550" width="0" style="24" hidden="1" customWidth="1"/>
    <col min="11551" max="11551" width="13" style="24" customWidth="1"/>
    <col min="11552" max="11552" width="12" style="24" bestFit="1" customWidth="1"/>
    <col min="11553" max="11553" width="24.42578125" style="24" customWidth="1"/>
    <col min="11554" max="11555" width="9.140625" style="24"/>
    <col min="11556" max="11556" width="11.140625" style="24" bestFit="1" customWidth="1"/>
    <col min="11557" max="11557" width="12.85546875" style="24" bestFit="1" customWidth="1"/>
    <col min="11558" max="11558" width="9.140625" style="24"/>
    <col min="11559" max="11559" width="20.140625" style="24" customWidth="1"/>
    <col min="11560" max="11560" width="5" style="24" customWidth="1"/>
    <col min="11561" max="11561" width="0" style="24" hidden="1" customWidth="1"/>
    <col min="11562" max="11565" width="9.140625" style="24"/>
    <col min="11566" max="11566" width="10.7109375" style="24" customWidth="1"/>
    <col min="11567" max="11779" width="9.140625" style="24"/>
    <col min="11780" max="11780" width="5.5703125" style="24" customWidth="1"/>
    <col min="11781" max="11781" width="41.85546875" style="24" customWidth="1"/>
    <col min="11782" max="11782" width="26" style="24" customWidth="1"/>
    <col min="11783" max="11783" width="17.7109375" style="24" customWidth="1"/>
    <col min="11784" max="11784" width="8.140625" style="24" customWidth="1"/>
    <col min="11785" max="11785" width="10.28515625" style="24" customWidth="1"/>
    <col min="11786" max="11786" width="5.5703125" style="24" customWidth="1"/>
    <col min="11787" max="11787" width="8.5703125" style="24" customWidth="1"/>
    <col min="11788" max="11788" width="5.7109375" style="24" customWidth="1"/>
    <col min="11789" max="11789" width="18.85546875" style="24" customWidth="1"/>
    <col min="11790" max="11790" width="14.5703125" style="24" customWidth="1"/>
    <col min="11791" max="11791" width="17.140625" style="24" customWidth="1"/>
    <col min="11792" max="11792" width="16" style="24" customWidth="1"/>
    <col min="11793" max="11793" width="15" style="24" customWidth="1"/>
    <col min="11794" max="11794" width="13.5703125" style="24" customWidth="1"/>
    <col min="11795" max="11795" width="10.140625" style="24" customWidth="1"/>
    <col min="11796" max="11796" width="11.7109375" style="24" customWidth="1"/>
    <col min="11797" max="11797" width="10.28515625" style="24" customWidth="1"/>
    <col min="11798" max="11798" width="15.5703125" style="24" customWidth="1"/>
    <col min="11799" max="11799" width="12.140625" style="24" customWidth="1"/>
    <col min="11800" max="11800" width="14.140625" style="24" customWidth="1"/>
    <col min="11801" max="11801" width="13.85546875" style="24" customWidth="1"/>
    <col min="11802" max="11802" width="12.28515625" style="24" customWidth="1"/>
    <col min="11803" max="11803" width="9.85546875" style="24" bestFit="1" customWidth="1"/>
    <col min="11804" max="11804" width="10.42578125" style="24" customWidth="1"/>
    <col min="11805" max="11806" width="0" style="24" hidden="1" customWidth="1"/>
    <col min="11807" max="11807" width="13" style="24" customWidth="1"/>
    <col min="11808" max="11808" width="12" style="24" bestFit="1" customWidth="1"/>
    <col min="11809" max="11809" width="24.42578125" style="24" customWidth="1"/>
    <col min="11810" max="11811" width="9.140625" style="24"/>
    <col min="11812" max="11812" width="11.140625" style="24" bestFit="1" customWidth="1"/>
    <col min="11813" max="11813" width="12.85546875" style="24" bestFit="1" customWidth="1"/>
    <col min="11814" max="11814" width="9.140625" style="24"/>
    <col min="11815" max="11815" width="20.140625" style="24" customWidth="1"/>
    <col min="11816" max="11816" width="5" style="24" customWidth="1"/>
    <col min="11817" max="11817" width="0" style="24" hidden="1" customWidth="1"/>
    <col min="11818" max="11821" width="9.140625" style="24"/>
    <col min="11822" max="11822" width="10.7109375" style="24" customWidth="1"/>
    <col min="11823" max="12035" width="9.140625" style="24"/>
    <col min="12036" max="12036" width="5.5703125" style="24" customWidth="1"/>
    <col min="12037" max="12037" width="41.85546875" style="24" customWidth="1"/>
    <col min="12038" max="12038" width="26" style="24" customWidth="1"/>
    <col min="12039" max="12039" width="17.7109375" style="24" customWidth="1"/>
    <col min="12040" max="12040" width="8.140625" style="24" customWidth="1"/>
    <col min="12041" max="12041" width="10.28515625" style="24" customWidth="1"/>
    <col min="12042" max="12042" width="5.5703125" style="24" customWidth="1"/>
    <col min="12043" max="12043" width="8.5703125" style="24" customWidth="1"/>
    <col min="12044" max="12044" width="5.7109375" style="24" customWidth="1"/>
    <col min="12045" max="12045" width="18.85546875" style="24" customWidth="1"/>
    <col min="12046" max="12046" width="14.5703125" style="24" customWidth="1"/>
    <col min="12047" max="12047" width="17.140625" style="24" customWidth="1"/>
    <col min="12048" max="12048" width="16" style="24" customWidth="1"/>
    <col min="12049" max="12049" width="15" style="24" customWidth="1"/>
    <col min="12050" max="12050" width="13.5703125" style="24" customWidth="1"/>
    <col min="12051" max="12051" width="10.140625" style="24" customWidth="1"/>
    <col min="12052" max="12052" width="11.7109375" style="24" customWidth="1"/>
    <col min="12053" max="12053" width="10.28515625" style="24" customWidth="1"/>
    <col min="12054" max="12054" width="15.5703125" style="24" customWidth="1"/>
    <col min="12055" max="12055" width="12.140625" style="24" customWidth="1"/>
    <col min="12056" max="12056" width="14.140625" style="24" customWidth="1"/>
    <col min="12057" max="12057" width="13.85546875" style="24" customWidth="1"/>
    <col min="12058" max="12058" width="12.28515625" style="24" customWidth="1"/>
    <col min="12059" max="12059" width="9.85546875" style="24" bestFit="1" customWidth="1"/>
    <col min="12060" max="12060" width="10.42578125" style="24" customWidth="1"/>
    <col min="12061" max="12062" width="0" style="24" hidden="1" customWidth="1"/>
    <col min="12063" max="12063" width="13" style="24" customWidth="1"/>
    <col min="12064" max="12064" width="12" style="24" bestFit="1" customWidth="1"/>
    <col min="12065" max="12065" width="24.42578125" style="24" customWidth="1"/>
    <col min="12066" max="12067" width="9.140625" style="24"/>
    <col min="12068" max="12068" width="11.140625" style="24" bestFit="1" customWidth="1"/>
    <col min="12069" max="12069" width="12.85546875" style="24" bestFit="1" customWidth="1"/>
    <col min="12070" max="12070" width="9.140625" style="24"/>
    <col min="12071" max="12071" width="20.140625" style="24" customWidth="1"/>
    <col min="12072" max="12072" width="5" style="24" customWidth="1"/>
    <col min="12073" max="12073" width="0" style="24" hidden="1" customWidth="1"/>
    <col min="12074" max="12077" width="9.140625" style="24"/>
    <col min="12078" max="12078" width="10.7109375" style="24" customWidth="1"/>
    <col min="12079" max="12291" width="9.140625" style="24"/>
    <col min="12292" max="12292" width="5.5703125" style="24" customWidth="1"/>
    <col min="12293" max="12293" width="41.85546875" style="24" customWidth="1"/>
    <col min="12294" max="12294" width="26" style="24" customWidth="1"/>
    <col min="12295" max="12295" width="17.7109375" style="24" customWidth="1"/>
    <col min="12296" max="12296" width="8.140625" style="24" customWidth="1"/>
    <col min="12297" max="12297" width="10.28515625" style="24" customWidth="1"/>
    <col min="12298" max="12298" width="5.5703125" style="24" customWidth="1"/>
    <col min="12299" max="12299" width="8.5703125" style="24" customWidth="1"/>
    <col min="12300" max="12300" width="5.7109375" style="24" customWidth="1"/>
    <col min="12301" max="12301" width="18.85546875" style="24" customWidth="1"/>
    <col min="12302" max="12302" width="14.5703125" style="24" customWidth="1"/>
    <col min="12303" max="12303" width="17.140625" style="24" customWidth="1"/>
    <col min="12304" max="12304" width="16" style="24" customWidth="1"/>
    <col min="12305" max="12305" width="15" style="24" customWidth="1"/>
    <col min="12306" max="12306" width="13.5703125" style="24" customWidth="1"/>
    <col min="12307" max="12307" width="10.140625" style="24" customWidth="1"/>
    <col min="12308" max="12308" width="11.7109375" style="24" customWidth="1"/>
    <col min="12309" max="12309" width="10.28515625" style="24" customWidth="1"/>
    <col min="12310" max="12310" width="15.5703125" style="24" customWidth="1"/>
    <col min="12311" max="12311" width="12.140625" style="24" customWidth="1"/>
    <col min="12312" max="12312" width="14.140625" style="24" customWidth="1"/>
    <col min="12313" max="12313" width="13.85546875" style="24" customWidth="1"/>
    <col min="12314" max="12314" width="12.28515625" style="24" customWidth="1"/>
    <col min="12315" max="12315" width="9.85546875" style="24" bestFit="1" customWidth="1"/>
    <col min="12316" max="12316" width="10.42578125" style="24" customWidth="1"/>
    <col min="12317" max="12318" width="0" style="24" hidden="1" customWidth="1"/>
    <col min="12319" max="12319" width="13" style="24" customWidth="1"/>
    <col min="12320" max="12320" width="12" style="24" bestFit="1" customWidth="1"/>
    <col min="12321" max="12321" width="24.42578125" style="24" customWidth="1"/>
    <col min="12322" max="12323" width="9.140625" style="24"/>
    <col min="12324" max="12324" width="11.140625" style="24" bestFit="1" customWidth="1"/>
    <col min="12325" max="12325" width="12.85546875" style="24" bestFit="1" customWidth="1"/>
    <col min="12326" max="12326" width="9.140625" style="24"/>
    <col min="12327" max="12327" width="20.140625" style="24" customWidth="1"/>
    <col min="12328" max="12328" width="5" style="24" customWidth="1"/>
    <col min="12329" max="12329" width="0" style="24" hidden="1" customWidth="1"/>
    <col min="12330" max="12333" width="9.140625" style="24"/>
    <col min="12334" max="12334" width="10.7109375" style="24" customWidth="1"/>
    <col min="12335" max="12547" width="9.140625" style="24"/>
    <col min="12548" max="12548" width="5.5703125" style="24" customWidth="1"/>
    <col min="12549" max="12549" width="41.85546875" style="24" customWidth="1"/>
    <col min="12550" max="12550" width="26" style="24" customWidth="1"/>
    <col min="12551" max="12551" width="17.7109375" style="24" customWidth="1"/>
    <col min="12552" max="12552" width="8.140625" style="24" customWidth="1"/>
    <col min="12553" max="12553" width="10.28515625" style="24" customWidth="1"/>
    <col min="12554" max="12554" width="5.5703125" style="24" customWidth="1"/>
    <col min="12555" max="12555" width="8.5703125" style="24" customWidth="1"/>
    <col min="12556" max="12556" width="5.7109375" style="24" customWidth="1"/>
    <col min="12557" max="12557" width="18.85546875" style="24" customWidth="1"/>
    <col min="12558" max="12558" width="14.5703125" style="24" customWidth="1"/>
    <col min="12559" max="12559" width="17.140625" style="24" customWidth="1"/>
    <col min="12560" max="12560" width="16" style="24" customWidth="1"/>
    <col min="12561" max="12561" width="15" style="24" customWidth="1"/>
    <col min="12562" max="12562" width="13.5703125" style="24" customWidth="1"/>
    <col min="12563" max="12563" width="10.140625" style="24" customWidth="1"/>
    <col min="12564" max="12564" width="11.7109375" style="24" customWidth="1"/>
    <col min="12565" max="12565" width="10.28515625" style="24" customWidth="1"/>
    <col min="12566" max="12566" width="15.5703125" style="24" customWidth="1"/>
    <col min="12567" max="12567" width="12.140625" style="24" customWidth="1"/>
    <col min="12568" max="12568" width="14.140625" style="24" customWidth="1"/>
    <col min="12569" max="12569" width="13.85546875" style="24" customWidth="1"/>
    <col min="12570" max="12570" width="12.28515625" style="24" customWidth="1"/>
    <col min="12571" max="12571" width="9.85546875" style="24" bestFit="1" customWidth="1"/>
    <col min="12572" max="12572" width="10.42578125" style="24" customWidth="1"/>
    <col min="12573" max="12574" width="0" style="24" hidden="1" customWidth="1"/>
    <col min="12575" max="12575" width="13" style="24" customWidth="1"/>
    <col min="12576" max="12576" width="12" style="24" bestFit="1" customWidth="1"/>
    <col min="12577" max="12577" width="24.42578125" style="24" customWidth="1"/>
    <col min="12578" max="12579" width="9.140625" style="24"/>
    <col min="12580" max="12580" width="11.140625" style="24" bestFit="1" customWidth="1"/>
    <col min="12581" max="12581" width="12.85546875" style="24" bestFit="1" customWidth="1"/>
    <col min="12582" max="12582" width="9.140625" style="24"/>
    <col min="12583" max="12583" width="20.140625" style="24" customWidth="1"/>
    <col min="12584" max="12584" width="5" style="24" customWidth="1"/>
    <col min="12585" max="12585" width="0" style="24" hidden="1" customWidth="1"/>
    <col min="12586" max="12589" width="9.140625" style="24"/>
    <col min="12590" max="12590" width="10.7109375" style="24" customWidth="1"/>
    <col min="12591" max="12803" width="9.140625" style="24"/>
    <col min="12804" max="12804" width="5.5703125" style="24" customWidth="1"/>
    <col min="12805" max="12805" width="41.85546875" style="24" customWidth="1"/>
    <col min="12806" max="12806" width="26" style="24" customWidth="1"/>
    <col min="12807" max="12807" width="17.7109375" style="24" customWidth="1"/>
    <col min="12808" max="12808" width="8.140625" style="24" customWidth="1"/>
    <col min="12809" max="12809" width="10.28515625" style="24" customWidth="1"/>
    <col min="12810" max="12810" width="5.5703125" style="24" customWidth="1"/>
    <col min="12811" max="12811" width="8.5703125" style="24" customWidth="1"/>
    <col min="12812" max="12812" width="5.7109375" style="24" customWidth="1"/>
    <col min="12813" max="12813" width="18.85546875" style="24" customWidth="1"/>
    <col min="12814" max="12814" width="14.5703125" style="24" customWidth="1"/>
    <col min="12815" max="12815" width="17.140625" style="24" customWidth="1"/>
    <col min="12816" max="12816" width="16" style="24" customWidth="1"/>
    <col min="12817" max="12817" width="15" style="24" customWidth="1"/>
    <col min="12818" max="12818" width="13.5703125" style="24" customWidth="1"/>
    <col min="12819" max="12819" width="10.140625" style="24" customWidth="1"/>
    <col min="12820" max="12820" width="11.7109375" style="24" customWidth="1"/>
    <col min="12821" max="12821" width="10.28515625" style="24" customWidth="1"/>
    <col min="12822" max="12822" width="15.5703125" style="24" customWidth="1"/>
    <col min="12823" max="12823" width="12.140625" style="24" customWidth="1"/>
    <col min="12824" max="12824" width="14.140625" style="24" customWidth="1"/>
    <col min="12825" max="12825" width="13.85546875" style="24" customWidth="1"/>
    <col min="12826" max="12826" width="12.28515625" style="24" customWidth="1"/>
    <col min="12827" max="12827" width="9.85546875" style="24" bestFit="1" customWidth="1"/>
    <col min="12828" max="12828" width="10.42578125" style="24" customWidth="1"/>
    <col min="12829" max="12830" width="0" style="24" hidden="1" customWidth="1"/>
    <col min="12831" max="12831" width="13" style="24" customWidth="1"/>
    <col min="12832" max="12832" width="12" style="24" bestFit="1" customWidth="1"/>
    <col min="12833" max="12833" width="24.42578125" style="24" customWidth="1"/>
    <col min="12834" max="12835" width="9.140625" style="24"/>
    <col min="12836" max="12836" width="11.140625" style="24" bestFit="1" customWidth="1"/>
    <col min="12837" max="12837" width="12.85546875" style="24" bestFit="1" customWidth="1"/>
    <col min="12838" max="12838" width="9.140625" style="24"/>
    <col min="12839" max="12839" width="20.140625" style="24" customWidth="1"/>
    <col min="12840" max="12840" width="5" style="24" customWidth="1"/>
    <col min="12841" max="12841" width="0" style="24" hidden="1" customWidth="1"/>
    <col min="12842" max="12845" width="9.140625" style="24"/>
    <col min="12846" max="12846" width="10.7109375" style="24" customWidth="1"/>
    <col min="12847" max="13059" width="9.140625" style="24"/>
    <col min="13060" max="13060" width="5.5703125" style="24" customWidth="1"/>
    <col min="13061" max="13061" width="41.85546875" style="24" customWidth="1"/>
    <col min="13062" max="13062" width="26" style="24" customWidth="1"/>
    <col min="13063" max="13063" width="17.7109375" style="24" customWidth="1"/>
    <col min="13064" max="13064" width="8.140625" style="24" customWidth="1"/>
    <col min="13065" max="13065" width="10.28515625" style="24" customWidth="1"/>
    <col min="13066" max="13066" width="5.5703125" style="24" customWidth="1"/>
    <col min="13067" max="13067" width="8.5703125" style="24" customWidth="1"/>
    <col min="13068" max="13068" width="5.7109375" style="24" customWidth="1"/>
    <col min="13069" max="13069" width="18.85546875" style="24" customWidth="1"/>
    <col min="13070" max="13070" width="14.5703125" style="24" customWidth="1"/>
    <col min="13071" max="13071" width="17.140625" style="24" customWidth="1"/>
    <col min="13072" max="13072" width="16" style="24" customWidth="1"/>
    <col min="13073" max="13073" width="15" style="24" customWidth="1"/>
    <col min="13074" max="13074" width="13.5703125" style="24" customWidth="1"/>
    <col min="13075" max="13075" width="10.140625" style="24" customWidth="1"/>
    <col min="13076" max="13076" width="11.7109375" style="24" customWidth="1"/>
    <col min="13077" max="13077" width="10.28515625" style="24" customWidth="1"/>
    <col min="13078" max="13078" width="15.5703125" style="24" customWidth="1"/>
    <col min="13079" max="13079" width="12.140625" style="24" customWidth="1"/>
    <col min="13080" max="13080" width="14.140625" style="24" customWidth="1"/>
    <col min="13081" max="13081" width="13.85546875" style="24" customWidth="1"/>
    <col min="13082" max="13082" width="12.28515625" style="24" customWidth="1"/>
    <col min="13083" max="13083" width="9.85546875" style="24" bestFit="1" customWidth="1"/>
    <col min="13084" max="13084" width="10.42578125" style="24" customWidth="1"/>
    <col min="13085" max="13086" width="0" style="24" hidden="1" customWidth="1"/>
    <col min="13087" max="13087" width="13" style="24" customWidth="1"/>
    <col min="13088" max="13088" width="12" style="24" bestFit="1" customWidth="1"/>
    <col min="13089" max="13089" width="24.42578125" style="24" customWidth="1"/>
    <col min="13090" max="13091" width="9.140625" style="24"/>
    <col min="13092" max="13092" width="11.140625" style="24" bestFit="1" customWidth="1"/>
    <col min="13093" max="13093" width="12.85546875" style="24" bestFit="1" customWidth="1"/>
    <col min="13094" max="13094" width="9.140625" style="24"/>
    <col min="13095" max="13095" width="20.140625" style="24" customWidth="1"/>
    <col min="13096" max="13096" width="5" style="24" customWidth="1"/>
    <col min="13097" max="13097" width="0" style="24" hidden="1" customWidth="1"/>
    <col min="13098" max="13101" width="9.140625" style="24"/>
    <col min="13102" max="13102" width="10.7109375" style="24" customWidth="1"/>
    <col min="13103" max="13315" width="9.140625" style="24"/>
    <col min="13316" max="13316" width="5.5703125" style="24" customWidth="1"/>
    <col min="13317" max="13317" width="41.85546875" style="24" customWidth="1"/>
    <col min="13318" max="13318" width="26" style="24" customWidth="1"/>
    <col min="13319" max="13319" width="17.7109375" style="24" customWidth="1"/>
    <col min="13320" max="13320" width="8.140625" style="24" customWidth="1"/>
    <col min="13321" max="13321" width="10.28515625" style="24" customWidth="1"/>
    <col min="13322" max="13322" width="5.5703125" style="24" customWidth="1"/>
    <col min="13323" max="13323" width="8.5703125" style="24" customWidth="1"/>
    <col min="13324" max="13324" width="5.7109375" style="24" customWidth="1"/>
    <col min="13325" max="13325" width="18.85546875" style="24" customWidth="1"/>
    <col min="13326" max="13326" width="14.5703125" style="24" customWidth="1"/>
    <col min="13327" max="13327" width="17.140625" style="24" customWidth="1"/>
    <col min="13328" max="13328" width="16" style="24" customWidth="1"/>
    <col min="13329" max="13329" width="15" style="24" customWidth="1"/>
    <col min="13330" max="13330" width="13.5703125" style="24" customWidth="1"/>
    <col min="13331" max="13331" width="10.140625" style="24" customWidth="1"/>
    <col min="13332" max="13332" width="11.7109375" style="24" customWidth="1"/>
    <col min="13333" max="13333" width="10.28515625" style="24" customWidth="1"/>
    <col min="13334" max="13334" width="15.5703125" style="24" customWidth="1"/>
    <col min="13335" max="13335" width="12.140625" style="24" customWidth="1"/>
    <col min="13336" max="13336" width="14.140625" style="24" customWidth="1"/>
    <col min="13337" max="13337" width="13.85546875" style="24" customWidth="1"/>
    <col min="13338" max="13338" width="12.28515625" style="24" customWidth="1"/>
    <col min="13339" max="13339" width="9.85546875" style="24" bestFit="1" customWidth="1"/>
    <col min="13340" max="13340" width="10.42578125" style="24" customWidth="1"/>
    <col min="13341" max="13342" width="0" style="24" hidden="1" customWidth="1"/>
    <col min="13343" max="13343" width="13" style="24" customWidth="1"/>
    <col min="13344" max="13344" width="12" style="24" bestFit="1" customWidth="1"/>
    <col min="13345" max="13345" width="24.42578125" style="24" customWidth="1"/>
    <col min="13346" max="13347" width="9.140625" style="24"/>
    <col min="13348" max="13348" width="11.140625" style="24" bestFit="1" customWidth="1"/>
    <col min="13349" max="13349" width="12.85546875" style="24" bestFit="1" customWidth="1"/>
    <col min="13350" max="13350" width="9.140625" style="24"/>
    <col min="13351" max="13351" width="20.140625" style="24" customWidth="1"/>
    <col min="13352" max="13352" width="5" style="24" customWidth="1"/>
    <col min="13353" max="13353" width="0" style="24" hidden="1" customWidth="1"/>
    <col min="13354" max="13357" width="9.140625" style="24"/>
    <col min="13358" max="13358" width="10.7109375" style="24" customWidth="1"/>
    <col min="13359" max="13571" width="9.140625" style="24"/>
    <col min="13572" max="13572" width="5.5703125" style="24" customWidth="1"/>
    <col min="13573" max="13573" width="41.85546875" style="24" customWidth="1"/>
    <col min="13574" max="13574" width="26" style="24" customWidth="1"/>
    <col min="13575" max="13575" width="17.7109375" style="24" customWidth="1"/>
    <col min="13576" max="13576" width="8.140625" style="24" customWidth="1"/>
    <col min="13577" max="13577" width="10.28515625" style="24" customWidth="1"/>
    <col min="13578" max="13578" width="5.5703125" style="24" customWidth="1"/>
    <col min="13579" max="13579" width="8.5703125" style="24" customWidth="1"/>
    <col min="13580" max="13580" width="5.7109375" style="24" customWidth="1"/>
    <col min="13581" max="13581" width="18.85546875" style="24" customWidth="1"/>
    <col min="13582" max="13582" width="14.5703125" style="24" customWidth="1"/>
    <col min="13583" max="13583" width="17.140625" style="24" customWidth="1"/>
    <col min="13584" max="13584" width="16" style="24" customWidth="1"/>
    <col min="13585" max="13585" width="15" style="24" customWidth="1"/>
    <col min="13586" max="13586" width="13.5703125" style="24" customWidth="1"/>
    <col min="13587" max="13587" width="10.140625" style="24" customWidth="1"/>
    <col min="13588" max="13588" width="11.7109375" style="24" customWidth="1"/>
    <col min="13589" max="13589" width="10.28515625" style="24" customWidth="1"/>
    <col min="13590" max="13590" width="15.5703125" style="24" customWidth="1"/>
    <col min="13591" max="13591" width="12.140625" style="24" customWidth="1"/>
    <col min="13592" max="13592" width="14.140625" style="24" customWidth="1"/>
    <col min="13593" max="13593" width="13.85546875" style="24" customWidth="1"/>
    <col min="13594" max="13594" width="12.28515625" style="24" customWidth="1"/>
    <col min="13595" max="13595" width="9.85546875" style="24" bestFit="1" customWidth="1"/>
    <col min="13596" max="13596" width="10.42578125" style="24" customWidth="1"/>
    <col min="13597" max="13598" width="0" style="24" hidden="1" customWidth="1"/>
    <col min="13599" max="13599" width="13" style="24" customWidth="1"/>
    <col min="13600" max="13600" width="12" style="24" bestFit="1" customWidth="1"/>
    <col min="13601" max="13601" width="24.42578125" style="24" customWidth="1"/>
    <col min="13602" max="13603" width="9.140625" style="24"/>
    <col min="13604" max="13604" width="11.140625" style="24" bestFit="1" customWidth="1"/>
    <col min="13605" max="13605" width="12.85546875" style="24" bestFit="1" customWidth="1"/>
    <col min="13606" max="13606" width="9.140625" style="24"/>
    <col min="13607" max="13607" width="20.140625" style="24" customWidth="1"/>
    <col min="13608" max="13608" width="5" style="24" customWidth="1"/>
    <col min="13609" max="13609" width="0" style="24" hidden="1" customWidth="1"/>
    <col min="13610" max="13613" width="9.140625" style="24"/>
    <col min="13614" max="13614" width="10.7109375" style="24" customWidth="1"/>
    <col min="13615" max="13827" width="9.140625" style="24"/>
    <col min="13828" max="13828" width="5.5703125" style="24" customWidth="1"/>
    <col min="13829" max="13829" width="41.85546875" style="24" customWidth="1"/>
    <col min="13830" max="13830" width="26" style="24" customWidth="1"/>
    <col min="13831" max="13831" width="17.7109375" style="24" customWidth="1"/>
    <col min="13832" max="13832" width="8.140625" style="24" customWidth="1"/>
    <col min="13833" max="13833" width="10.28515625" style="24" customWidth="1"/>
    <col min="13834" max="13834" width="5.5703125" style="24" customWidth="1"/>
    <col min="13835" max="13835" width="8.5703125" style="24" customWidth="1"/>
    <col min="13836" max="13836" width="5.7109375" style="24" customWidth="1"/>
    <col min="13837" max="13837" width="18.85546875" style="24" customWidth="1"/>
    <col min="13838" max="13838" width="14.5703125" style="24" customWidth="1"/>
    <col min="13839" max="13839" width="17.140625" style="24" customWidth="1"/>
    <col min="13840" max="13840" width="16" style="24" customWidth="1"/>
    <col min="13841" max="13841" width="15" style="24" customWidth="1"/>
    <col min="13842" max="13842" width="13.5703125" style="24" customWidth="1"/>
    <col min="13843" max="13843" width="10.140625" style="24" customWidth="1"/>
    <col min="13844" max="13844" width="11.7109375" style="24" customWidth="1"/>
    <col min="13845" max="13845" width="10.28515625" style="24" customWidth="1"/>
    <col min="13846" max="13846" width="15.5703125" style="24" customWidth="1"/>
    <col min="13847" max="13847" width="12.140625" style="24" customWidth="1"/>
    <col min="13848" max="13848" width="14.140625" style="24" customWidth="1"/>
    <col min="13849" max="13849" width="13.85546875" style="24" customWidth="1"/>
    <col min="13850" max="13850" width="12.28515625" style="24" customWidth="1"/>
    <col min="13851" max="13851" width="9.85546875" style="24" bestFit="1" customWidth="1"/>
    <col min="13852" max="13852" width="10.42578125" style="24" customWidth="1"/>
    <col min="13853" max="13854" width="0" style="24" hidden="1" customWidth="1"/>
    <col min="13855" max="13855" width="13" style="24" customWidth="1"/>
    <col min="13856" max="13856" width="12" style="24" bestFit="1" customWidth="1"/>
    <col min="13857" max="13857" width="24.42578125" style="24" customWidth="1"/>
    <col min="13858" max="13859" width="9.140625" style="24"/>
    <col min="13860" max="13860" width="11.140625" style="24" bestFit="1" customWidth="1"/>
    <col min="13861" max="13861" width="12.85546875" style="24" bestFit="1" customWidth="1"/>
    <col min="13862" max="13862" width="9.140625" style="24"/>
    <col min="13863" max="13863" width="20.140625" style="24" customWidth="1"/>
    <col min="13864" max="13864" width="5" style="24" customWidth="1"/>
    <col min="13865" max="13865" width="0" style="24" hidden="1" customWidth="1"/>
    <col min="13866" max="13869" width="9.140625" style="24"/>
    <col min="13870" max="13870" width="10.7109375" style="24" customWidth="1"/>
    <col min="13871" max="14083" width="9.140625" style="24"/>
    <col min="14084" max="14084" width="5.5703125" style="24" customWidth="1"/>
    <col min="14085" max="14085" width="41.85546875" style="24" customWidth="1"/>
    <col min="14086" max="14086" width="26" style="24" customWidth="1"/>
    <col min="14087" max="14087" width="17.7109375" style="24" customWidth="1"/>
    <col min="14088" max="14088" width="8.140625" style="24" customWidth="1"/>
    <col min="14089" max="14089" width="10.28515625" style="24" customWidth="1"/>
    <col min="14090" max="14090" width="5.5703125" style="24" customWidth="1"/>
    <col min="14091" max="14091" width="8.5703125" style="24" customWidth="1"/>
    <col min="14092" max="14092" width="5.7109375" style="24" customWidth="1"/>
    <col min="14093" max="14093" width="18.85546875" style="24" customWidth="1"/>
    <col min="14094" max="14094" width="14.5703125" style="24" customWidth="1"/>
    <col min="14095" max="14095" width="17.140625" style="24" customWidth="1"/>
    <col min="14096" max="14096" width="16" style="24" customWidth="1"/>
    <col min="14097" max="14097" width="15" style="24" customWidth="1"/>
    <col min="14098" max="14098" width="13.5703125" style="24" customWidth="1"/>
    <col min="14099" max="14099" width="10.140625" style="24" customWidth="1"/>
    <col min="14100" max="14100" width="11.7109375" style="24" customWidth="1"/>
    <col min="14101" max="14101" width="10.28515625" style="24" customWidth="1"/>
    <col min="14102" max="14102" width="15.5703125" style="24" customWidth="1"/>
    <col min="14103" max="14103" width="12.140625" style="24" customWidth="1"/>
    <col min="14104" max="14104" width="14.140625" style="24" customWidth="1"/>
    <col min="14105" max="14105" width="13.85546875" style="24" customWidth="1"/>
    <col min="14106" max="14106" width="12.28515625" style="24" customWidth="1"/>
    <col min="14107" max="14107" width="9.85546875" style="24" bestFit="1" customWidth="1"/>
    <col min="14108" max="14108" width="10.42578125" style="24" customWidth="1"/>
    <col min="14109" max="14110" width="0" style="24" hidden="1" customWidth="1"/>
    <col min="14111" max="14111" width="13" style="24" customWidth="1"/>
    <col min="14112" max="14112" width="12" style="24" bestFit="1" customWidth="1"/>
    <col min="14113" max="14113" width="24.42578125" style="24" customWidth="1"/>
    <col min="14114" max="14115" width="9.140625" style="24"/>
    <col min="14116" max="14116" width="11.140625" style="24" bestFit="1" customWidth="1"/>
    <col min="14117" max="14117" width="12.85546875" style="24" bestFit="1" customWidth="1"/>
    <col min="14118" max="14118" width="9.140625" style="24"/>
    <col min="14119" max="14119" width="20.140625" style="24" customWidth="1"/>
    <col min="14120" max="14120" width="5" style="24" customWidth="1"/>
    <col min="14121" max="14121" width="0" style="24" hidden="1" customWidth="1"/>
    <col min="14122" max="14125" width="9.140625" style="24"/>
    <col min="14126" max="14126" width="10.7109375" style="24" customWidth="1"/>
    <col min="14127" max="14339" width="9.140625" style="24"/>
    <col min="14340" max="14340" width="5.5703125" style="24" customWidth="1"/>
    <col min="14341" max="14341" width="41.85546875" style="24" customWidth="1"/>
    <col min="14342" max="14342" width="26" style="24" customWidth="1"/>
    <col min="14343" max="14343" width="17.7109375" style="24" customWidth="1"/>
    <col min="14344" max="14344" width="8.140625" style="24" customWidth="1"/>
    <col min="14345" max="14345" width="10.28515625" style="24" customWidth="1"/>
    <col min="14346" max="14346" width="5.5703125" style="24" customWidth="1"/>
    <col min="14347" max="14347" width="8.5703125" style="24" customWidth="1"/>
    <col min="14348" max="14348" width="5.7109375" style="24" customWidth="1"/>
    <col min="14349" max="14349" width="18.85546875" style="24" customWidth="1"/>
    <col min="14350" max="14350" width="14.5703125" style="24" customWidth="1"/>
    <col min="14351" max="14351" width="17.140625" style="24" customWidth="1"/>
    <col min="14352" max="14352" width="16" style="24" customWidth="1"/>
    <col min="14353" max="14353" width="15" style="24" customWidth="1"/>
    <col min="14354" max="14354" width="13.5703125" style="24" customWidth="1"/>
    <col min="14355" max="14355" width="10.140625" style="24" customWidth="1"/>
    <col min="14356" max="14356" width="11.7109375" style="24" customWidth="1"/>
    <col min="14357" max="14357" width="10.28515625" style="24" customWidth="1"/>
    <col min="14358" max="14358" width="15.5703125" style="24" customWidth="1"/>
    <col min="14359" max="14359" width="12.140625" style="24" customWidth="1"/>
    <col min="14360" max="14360" width="14.140625" style="24" customWidth="1"/>
    <col min="14361" max="14361" width="13.85546875" style="24" customWidth="1"/>
    <col min="14362" max="14362" width="12.28515625" style="24" customWidth="1"/>
    <col min="14363" max="14363" width="9.85546875" style="24" bestFit="1" customWidth="1"/>
    <col min="14364" max="14364" width="10.42578125" style="24" customWidth="1"/>
    <col min="14365" max="14366" width="0" style="24" hidden="1" customWidth="1"/>
    <col min="14367" max="14367" width="13" style="24" customWidth="1"/>
    <col min="14368" max="14368" width="12" style="24" bestFit="1" customWidth="1"/>
    <col min="14369" max="14369" width="24.42578125" style="24" customWidth="1"/>
    <col min="14370" max="14371" width="9.140625" style="24"/>
    <col min="14372" max="14372" width="11.140625" style="24" bestFit="1" customWidth="1"/>
    <col min="14373" max="14373" width="12.85546875" style="24" bestFit="1" customWidth="1"/>
    <col min="14374" max="14374" width="9.140625" style="24"/>
    <col min="14375" max="14375" width="20.140625" style="24" customWidth="1"/>
    <col min="14376" max="14376" width="5" style="24" customWidth="1"/>
    <col min="14377" max="14377" width="0" style="24" hidden="1" customWidth="1"/>
    <col min="14378" max="14381" width="9.140625" style="24"/>
    <col min="14382" max="14382" width="10.7109375" style="24" customWidth="1"/>
    <col min="14383" max="14595" width="9.140625" style="24"/>
    <col min="14596" max="14596" width="5.5703125" style="24" customWidth="1"/>
    <col min="14597" max="14597" width="41.85546875" style="24" customWidth="1"/>
    <col min="14598" max="14598" width="26" style="24" customWidth="1"/>
    <col min="14599" max="14599" width="17.7109375" style="24" customWidth="1"/>
    <col min="14600" max="14600" width="8.140625" style="24" customWidth="1"/>
    <col min="14601" max="14601" width="10.28515625" style="24" customWidth="1"/>
    <col min="14602" max="14602" width="5.5703125" style="24" customWidth="1"/>
    <col min="14603" max="14603" width="8.5703125" style="24" customWidth="1"/>
    <col min="14604" max="14604" width="5.7109375" style="24" customWidth="1"/>
    <col min="14605" max="14605" width="18.85546875" style="24" customWidth="1"/>
    <col min="14606" max="14606" width="14.5703125" style="24" customWidth="1"/>
    <col min="14607" max="14607" width="17.140625" style="24" customWidth="1"/>
    <col min="14608" max="14608" width="16" style="24" customWidth="1"/>
    <col min="14609" max="14609" width="15" style="24" customWidth="1"/>
    <col min="14610" max="14610" width="13.5703125" style="24" customWidth="1"/>
    <col min="14611" max="14611" width="10.140625" style="24" customWidth="1"/>
    <col min="14612" max="14612" width="11.7109375" style="24" customWidth="1"/>
    <col min="14613" max="14613" width="10.28515625" style="24" customWidth="1"/>
    <col min="14614" max="14614" width="15.5703125" style="24" customWidth="1"/>
    <col min="14615" max="14615" width="12.140625" style="24" customWidth="1"/>
    <col min="14616" max="14616" width="14.140625" style="24" customWidth="1"/>
    <col min="14617" max="14617" width="13.85546875" style="24" customWidth="1"/>
    <col min="14618" max="14618" width="12.28515625" style="24" customWidth="1"/>
    <col min="14619" max="14619" width="9.85546875" style="24" bestFit="1" customWidth="1"/>
    <col min="14620" max="14620" width="10.42578125" style="24" customWidth="1"/>
    <col min="14621" max="14622" width="0" style="24" hidden="1" customWidth="1"/>
    <col min="14623" max="14623" width="13" style="24" customWidth="1"/>
    <col min="14624" max="14624" width="12" style="24" bestFit="1" customWidth="1"/>
    <col min="14625" max="14625" width="24.42578125" style="24" customWidth="1"/>
    <col min="14626" max="14627" width="9.140625" style="24"/>
    <col min="14628" max="14628" width="11.140625" style="24" bestFit="1" customWidth="1"/>
    <col min="14629" max="14629" width="12.85546875" style="24" bestFit="1" customWidth="1"/>
    <col min="14630" max="14630" width="9.140625" style="24"/>
    <col min="14631" max="14631" width="20.140625" style="24" customWidth="1"/>
    <col min="14632" max="14632" width="5" style="24" customWidth="1"/>
    <col min="14633" max="14633" width="0" style="24" hidden="1" customWidth="1"/>
    <col min="14634" max="14637" width="9.140625" style="24"/>
    <col min="14638" max="14638" width="10.7109375" style="24" customWidth="1"/>
    <col min="14639" max="14851" width="9.140625" style="24"/>
    <col min="14852" max="14852" width="5.5703125" style="24" customWidth="1"/>
    <col min="14853" max="14853" width="41.85546875" style="24" customWidth="1"/>
    <col min="14854" max="14854" width="26" style="24" customWidth="1"/>
    <col min="14855" max="14855" width="17.7109375" style="24" customWidth="1"/>
    <col min="14856" max="14856" width="8.140625" style="24" customWidth="1"/>
    <col min="14857" max="14857" width="10.28515625" style="24" customWidth="1"/>
    <col min="14858" max="14858" width="5.5703125" style="24" customWidth="1"/>
    <col min="14859" max="14859" width="8.5703125" style="24" customWidth="1"/>
    <col min="14860" max="14860" width="5.7109375" style="24" customWidth="1"/>
    <col min="14861" max="14861" width="18.85546875" style="24" customWidth="1"/>
    <col min="14862" max="14862" width="14.5703125" style="24" customWidth="1"/>
    <col min="14863" max="14863" width="17.140625" style="24" customWidth="1"/>
    <col min="14864" max="14864" width="16" style="24" customWidth="1"/>
    <col min="14865" max="14865" width="15" style="24" customWidth="1"/>
    <col min="14866" max="14866" width="13.5703125" style="24" customWidth="1"/>
    <col min="14867" max="14867" width="10.140625" style="24" customWidth="1"/>
    <col min="14868" max="14868" width="11.7109375" style="24" customWidth="1"/>
    <col min="14869" max="14869" width="10.28515625" style="24" customWidth="1"/>
    <col min="14870" max="14870" width="15.5703125" style="24" customWidth="1"/>
    <col min="14871" max="14871" width="12.140625" style="24" customWidth="1"/>
    <col min="14872" max="14872" width="14.140625" style="24" customWidth="1"/>
    <col min="14873" max="14873" width="13.85546875" style="24" customWidth="1"/>
    <col min="14874" max="14874" width="12.28515625" style="24" customWidth="1"/>
    <col min="14875" max="14875" width="9.85546875" style="24" bestFit="1" customWidth="1"/>
    <col min="14876" max="14876" width="10.42578125" style="24" customWidth="1"/>
    <col min="14877" max="14878" width="0" style="24" hidden="1" customWidth="1"/>
    <col min="14879" max="14879" width="13" style="24" customWidth="1"/>
    <col min="14880" max="14880" width="12" style="24" bestFit="1" customWidth="1"/>
    <col min="14881" max="14881" width="24.42578125" style="24" customWidth="1"/>
    <col min="14882" max="14883" width="9.140625" style="24"/>
    <col min="14884" max="14884" width="11.140625" style="24" bestFit="1" customWidth="1"/>
    <col min="14885" max="14885" width="12.85546875" style="24" bestFit="1" customWidth="1"/>
    <col min="14886" max="14886" width="9.140625" style="24"/>
    <col min="14887" max="14887" width="20.140625" style="24" customWidth="1"/>
    <col min="14888" max="14888" width="5" style="24" customWidth="1"/>
    <col min="14889" max="14889" width="0" style="24" hidden="1" customWidth="1"/>
    <col min="14890" max="14893" width="9.140625" style="24"/>
    <col min="14894" max="14894" width="10.7109375" style="24" customWidth="1"/>
    <col min="14895" max="15107" width="9.140625" style="24"/>
    <col min="15108" max="15108" width="5.5703125" style="24" customWidth="1"/>
    <col min="15109" max="15109" width="41.85546875" style="24" customWidth="1"/>
    <col min="15110" max="15110" width="26" style="24" customWidth="1"/>
    <col min="15111" max="15111" width="17.7109375" style="24" customWidth="1"/>
    <col min="15112" max="15112" width="8.140625" style="24" customWidth="1"/>
    <col min="15113" max="15113" width="10.28515625" style="24" customWidth="1"/>
    <col min="15114" max="15114" width="5.5703125" style="24" customWidth="1"/>
    <col min="15115" max="15115" width="8.5703125" style="24" customWidth="1"/>
    <col min="15116" max="15116" width="5.7109375" style="24" customWidth="1"/>
    <col min="15117" max="15117" width="18.85546875" style="24" customWidth="1"/>
    <col min="15118" max="15118" width="14.5703125" style="24" customWidth="1"/>
    <col min="15119" max="15119" width="17.140625" style="24" customWidth="1"/>
    <col min="15120" max="15120" width="16" style="24" customWidth="1"/>
    <col min="15121" max="15121" width="15" style="24" customWidth="1"/>
    <col min="15122" max="15122" width="13.5703125" style="24" customWidth="1"/>
    <col min="15123" max="15123" width="10.140625" style="24" customWidth="1"/>
    <col min="15124" max="15124" width="11.7109375" style="24" customWidth="1"/>
    <col min="15125" max="15125" width="10.28515625" style="24" customWidth="1"/>
    <col min="15126" max="15126" width="15.5703125" style="24" customWidth="1"/>
    <col min="15127" max="15127" width="12.140625" style="24" customWidth="1"/>
    <col min="15128" max="15128" width="14.140625" style="24" customWidth="1"/>
    <col min="15129" max="15129" width="13.85546875" style="24" customWidth="1"/>
    <col min="15130" max="15130" width="12.28515625" style="24" customWidth="1"/>
    <col min="15131" max="15131" width="9.85546875" style="24" bestFit="1" customWidth="1"/>
    <col min="15132" max="15132" width="10.42578125" style="24" customWidth="1"/>
    <col min="15133" max="15134" width="0" style="24" hidden="1" customWidth="1"/>
    <col min="15135" max="15135" width="13" style="24" customWidth="1"/>
    <col min="15136" max="15136" width="12" style="24" bestFit="1" customWidth="1"/>
    <col min="15137" max="15137" width="24.42578125" style="24" customWidth="1"/>
    <col min="15138" max="15139" width="9.140625" style="24"/>
    <col min="15140" max="15140" width="11.140625" style="24" bestFit="1" customWidth="1"/>
    <col min="15141" max="15141" width="12.85546875" style="24" bestFit="1" customWidth="1"/>
    <col min="15142" max="15142" width="9.140625" style="24"/>
    <col min="15143" max="15143" width="20.140625" style="24" customWidth="1"/>
    <col min="15144" max="15144" width="5" style="24" customWidth="1"/>
    <col min="15145" max="15145" width="0" style="24" hidden="1" customWidth="1"/>
    <col min="15146" max="15149" width="9.140625" style="24"/>
    <col min="15150" max="15150" width="10.7109375" style="24" customWidth="1"/>
    <col min="15151" max="15363" width="9.140625" style="24"/>
    <col min="15364" max="15364" width="5.5703125" style="24" customWidth="1"/>
    <col min="15365" max="15365" width="41.85546875" style="24" customWidth="1"/>
    <col min="15366" max="15366" width="26" style="24" customWidth="1"/>
    <col min="15367" max="15367" width="17.7109375" style="24" customWidth="1"/>
    <col min="15368" max="15368" width="8.140625" style="24" customWidth="1"/>
    <col min="15369" max="15369" width="10.28515625" style="24" customWidth="1"/>
    <col min="15370" max="15370" width="5.5703125" style="24" customWidth="1"/>
    <col min="15371" max="15371" width="8.5703125" style="24" customWidth="1"/>
    <col min="15372" max="15372" width="5.7109375" style="24" customWidth="1"/>
    <col min="15373" max="15373" width="18.85546875" style="24" customWidth="1"/>
    <col min="15374" max="15374" width="14.5703125" style="24" customWidth="1"/>
    <col min="15375" max="15375" width="17.140625" style="24" customWidth="1"/>
    <col min="15376" max="15376" width="16" style="24" customWidth="1"/>
    <col min="15377" max="15377" width="15" style="24" customWidth="1"/>
    <col min="15378" max="15378" width="13.5703125" style="24" customWidth="1"/>
    <col min="15379" max="15379" width="10.140625" style="24" customWidth="1"/>
    <col min="15380" max="15380" width="11.7109375" style="24" customWidth="1"/>
    <col min="15381" max="15381" width="10.28515625" style="24" customWidth="1"/>
    <col min="15382" max="15382" width="15.5703125" style="24" customWidth="1"/>
    <col min="15383" max="15383" width="12.140625" style="24" customWidth="1"/>
    <col min="15384" max="15384" width="14.140625" style="24" customWidth="1"/>
    <col min="15385" max="15385" width="13.85546875" style="24" customWidth="1"/>
    <col min="15386" max="15386" width="12.28515625" style="24" customWidth="1"/>
    <col min="15387" max="15387" width="9.85546875" style="24" bestFit="1" customWidth="1"/>
    <col min="15388" max="15388" width="10.42578125" style="24" customWidth="1"/>
    <col min="15389" max="15390" width="0" style="24" hidden="1" customWidth="1"/>
    <col min="15391" max="15391" width="13" style="24" customWidth="1"/>
    <col min="15392" max="15392" width="12" style="24" bestFit="1" customWidth="1"/>
    <col min="15393" max="15393" width="24.42578125" style="24" customWidth="1"/>
    <col min="15394" max="15395" width="9.140625" style="24"/>
    <col min="15396" max="15396" width="11.140625" style="24" bestFit="1" customWidth="1"/>
    <col min="15397" max="15397" width="12.85546875" style="24" bestFit="1" customWidth="1"/>
    <col min="15398" max="15398" width="9.140625" style="24"/>
    <col min="15399" max="15399" width="20.140625" style="24" customWidth="1"/>
    <col min="15400" max="15400" width="5" style="24" customWidth="1"/>
    <col min="15401" max="15401" width="0" style="24" hidden="1" customWidth="1"/>
    <col min="15402" max="15405" width="9.140625" style="24"/>
    <col min="15406" max="15406" width="10.7109375" style="24" customWidth="1"/>
    <col min="15407" max="15619" width="9.140625" style="24"/>
    <col min="15620" max="15620" width="5.5703125" style="24" customWidth="1"/>
    <col min="15621" max="15621" width="41.85546875" style="24" customWidth="1"/>
    <col min="15622" max="15622" width="26" style="24" customWidth="1"/>
    <col min="15623" max="15623" width="17.7109375" style="24" customWidth="1"/>
    <col min="15624" max="15624" width="8.140625" style="24" customWidth="1"/>
    <col min="15625" max="15625" width="10.28515625" style="24" customWidth="1"/>
    <col min="15626" max="15626" width="5.5703125" style="24" customWidth="1"/>
    <col min="15627" max="15627" width="8.5703125" style="24" customWidth="1"/>
    <col min="15628" max="15628" width="5.7109375" style="24" customWidth="1"/>
    <col min="15629" max="15629" width="18.85546875" style="24" customWidth="1"/>
    <col min="15630" max="15630" width="14.5703125" style="24" customWidth="1"/>
    <col min="15631" max="15631" width="17.140625" style="24" customWidth="1"/>
    <col min="15632" max="15632" width="16" style="24" customWidth="1"/>
    <col min="15633" max="15633" width="15" style="24" customWidth="1"/>
    <col min="15634" max="15634" width="13.5703125" style="24" customWidth="1"/>
    <col min="15635" max="15635" width="10.140625" style="24" customWidth="1"/>
    <col min="15636" max="15636" width="11.7109375" style="24" customWidth="1"/>
    <col min="15637" max="15637" width="10.28515625" style="24" customWidth="1"/>
    <col min="15638" max="15638" width="15.5703125" style="24" customWidth="1"/>
    <col min="15639" max="15639" width="12.140625" style="24" customWidth="1"/>
    <col min="15640" max="15640" width="14.140625" style="24" customWidth="1"/>
    <col min="15641" max="15641" width="13.85546875" style="24" customWidth="1"/>
    <col min="15642" max="15642" width="12.28515625" style="24" customWidth="1"/>
    <col min="15643" max="15643" width="9.85546875" style="24" bestFit="1" customWidth="1"/>
    <col min="15644" max="15644" width="10.42578125" style="24" customWidth="1"/>
    <col min="15645" max="15646" width="0" style="24" hidden="1" customWidth="1"/>
    <col min="15647" max="15647" width="13" style="24" customWidth="1"/>
    <col min="15648" max="15648" width="12" style="24" bestFit="1" customWidth="1"/>
    <col min="15649" max="15649" width="24.42578125" style="24" customWidth="1"/>
    <col min="15650" max="15651" width="9.140625" style="24"/>
    <col min="15652" max="15652" width="11.140625" style="24" bestFit="1" customWidth="1"/>
    <col min="15653" max="15653" width="12.85546875" style="24" bestFit="1" customWidth="1"/>
    <col min="15654" max="15654" width="9.140625" style="24"/>
    <col min="15655" max="15655" width="20.140625" style="24" customWidth="1"/>
    <col min="15656" max="15656" width="5" style="24" customWidth="1"/>
    <col min="15657" max="15657" width="0" style="24" hidden="1" customWidth="1"/>
    <col min="15658" max="15661" width="9.140625" style="24"/>
    <col min="15662" max="15662" width="10.7109375" style="24" customWidth="1"/>
    <col min="15663" max="15875" width="9.140625" style="24"/>
    <col min="15876" max="15876" width="5.5703125" style="24" customWidth="1"/>
    <col min="15877" max="15877" width="41.85546875" style="24" customWidth="1"/>
    <col min="15878" max="15878" width="26" style="24" customWidth="1"/>
    <col min="15879" max="15879" width="17.7109375" style="24" customWidth="1"/>
    <col min="15880" max="15880" width="8.140625" style="24" customWidth="1"/>
    <col min="15881" max="15881" width="10.28515625" style="24" customWidth="1"/>
    <col min="15882" max="15882" width="5.5703125" style="24" customWidth="1"/>
    <col min="15883" max="15883" width="8.5703125" style="24" customWidth="1"/>
    <col min="15884" max="15884" width="5.7109375" style="24" customWidth="1"/>
    <col min="15885" max="15885" width="18.85546875" style="24" customWidth="1"/>
    <col min="15886" max="15886" width="14.5703125" style="24" customWidth="1"/>
    <col min="15887" max="15887" width="17.140625" style="24" customWidth="1"/>
    <col min="15888" max="15888" width="16" style="24" customWidth="1"/>
    <col min="15889" max="15889" width="15" style="24" customWidth="1"/>
    <col min="15890" max="15890" width="13.5703125" style="24" customWidth="1"/>
    <col min="15891" max="15891" width="10.140625" style="24" customWidth="1"/>
    <col min="15892" max="15892" width="11.7109375" style="24" customWidth="1"/>
    <col min="15893" max="15893" width="10.28515625" style="24" customWidth="1"/>
    <col min="15894" max="15894" width="15.5703125" style="24" customWidth="1"/>
    <col min="15895" max="15895" width="12.140625" style="24" customWidth="1"/>
    <col min="15896" max="15896" width="14.140625" style="24" customWidth="1"/>
    <col min="15897" max="15897" width="13.85546875" style="24" customWidth="1"/>
    <col min="15898" max="15898" width="12.28515625" style="24" customWidth="1"/>
    <col min="15899" max="15899" width="9.85546875" style="24" bestFit="1" customWidth="1"/>
    <col min="15900" max="15900" width="10.42578125" style="24" customWidth="1"/>
    <col min="15901" max="15902" width="0" style="24" hidden="1" customWidth="1"/>
    <col min="15903" max="15903" width="13" style="24" customWidth="1"/>
    <col min="15904" max="15904" width="12" style="24" bestFit="1" customWidth="1"/>
    <col min="15905" max="15905" width="24.42578125" style="24" customWidth="1"/>
    <col min="15906" max="15907" width="9.140625" style="24"/>
    <col min="15908" max="15908" width="11.140625" style="24" bestFit="1" customWidth="1"/>
    <col min="15909" max="15909" width="12.85546875" style="24" bestFit="1" customWidth="1"/>
    <col min="15910" max="15910" width="9.140625" style="24"/>
    <col min="15911" max="15911" width="20.140625" style="24" customWidth="1"/>
    <col min="15912" max="15912" width="5" style="24" customWidth="1"/>
    <col min="15913" max="15913" width="0" style="24" hidden="1" customWidth="1"/>
    <col min="15914" max="15917" width="9.140625" style="24"/>
    <col min="15918" max="15918" width="10.7109375" style="24" customWidth="1"/>
    <col min="15919" max="16131" width="9.140625" style="24"/>
    <col min="16132" max="16132" width="5.5703125" style="24" customWidth="1"/>
    <col min="16133" max="16133" width="41.85546875" style="24" customWidth="1"/>
    <col min="16134" max="16134" width="26" style="24" customWidth="1"/>
    <col min="16135" max="16135" width="17.7109375" style="24" customWidth="1"/>
    <col min="16136" max="16136" width="8.140625" style="24" customWidth="1"/>
    <col min="16137" max="16137" width="10.28515625" style="24" customWidth="1"/>
    <col min="16138" max="16138" width="5.5703125" style="24" customWidth="1"/>
    <col min="16139" max="16139" width="8.5703125" style="24" customWidth="1"/>
    <col min="16140" max="16140" width="5.7109375" style="24" customWidth="1"/>
    <col min="16141" max="16141" width="18.85546875" style="24" customWidth="1"/>
    <col min="16142" max="16142" width="14.5703125" style="24" customWidth="1"/>
    <col min="16143" max="16143" width="17.140625" style="24" customWidth="1"/>
    <col min="16144" max="16144" width="16" style="24" customWidth="1"/>
    <col min="16145" max="16145" width="15" style="24" customWidth="1"/>
    <col min="16146" max="16146" width="13.5703125" style="24" customWidth="1"/>
    <col min="16147" max="16147" width="10.140625" style="24" customWidth="1"/>
    <col min="16148" max="16148" width="11.7109375" style="24" customWidth="1"/>
    <col min="16149" max="16149" width="10.28515625" style="24" customWidth="1"/>
    <col min="16150" max="16150" width="15.5703125" style="24" customWidth="1"/>
    <col min="16151" max="16151" width="12.140625" style="24" customWidth="1"/>
    <col min="16152" max="16152" width="14.140625" style="24" customWidth="1"/>
    <col min="16153" max="16153" width="13.85546875" style="24" customWidth="1"/>
    <col min="16154" max="16154" width="12.28515625" style="24" customWidth="1"/>
    <col min="16155" max="16155" width="9.85546875" style="24" bestFit="1" customWidth="1"/>
    <col min="16156" max="16156" width="10.42578125" style="24" customWidth="1"/>
    <col min="16157" max="16158" width="0" style="24" hidden="1" customWidth="1"/>
    <col min="16159" max="16159" width="13" style="24" customWidth="1"/>
    <col min="16160" max="16160" width="12" style="24" bestFit="1" customWidth="1"/>
    <col min="16161" max="16161" width="24.42578125" style="24" customWidth="1"/>
    <col min="16162" max="16163" width="9.140625" style="24"/>
    <col min="16164" max="16164" width="11.140625" style="24" bestFit="1" customWidth="1"/>
    <col min="16165" max="16165" width="12.85546875" style="24" bestFit="1" customWidth="1"/>
    <col min="16166" max="16166" width="9.140625" style="24"/>
    <col min="16167" max="16167" width="20.140625" style="24" customWidth="1"/>
    <col min="16168" max="16168" width="5" style="24" customWidth="1"/>
    <col min="16169" max="16169" width="0" style="24" hidden="1" customWidth="1"/>
    <col min="16170" max="16173" width="9.140625" style="24"/>
    <col min="16174" max="16174" width="10.7109375" style="24" customWidth="1"/>
    <col min="16175" max="16384" width="9.140625" style="24"/>
  </cols>
  <sheetData>
    <row r="1" spans="2:35">
      <c r="M1" s="25"/>
    </row>
    <row r="2" spans="2:35">
      <c r="B2" s="27"/>
      <c r="C2" s="28"/>
      <c r="D2" s="28" t="s">
        <v>200</v>
      </c>
      <c r="E2" s="28"/>
      <c r="F2" s="28"/>
      <c r="G2" s="28"/>
      <c r="H2" s="275"/>
      <c r="I2" s="28"/>
      <c r="J2" s="28"/>
      <c r="K2" s="28"/>
      <c r="L2" s="28"/>
      <c r="M2" s="29"/>
      <c r="N2" s="30"/>
      <c r="O2" s="28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2:35">
      <c r="B3" s="27"/>
      <c r="C3" s="28"/>
      <c r="D3" s="30"/>
      <c r="E3" s="30"/>
      <c r="F3" s="28"/>
      <c r="G3" s="28"/>
      <c r="H3" s="275"/>
      <c r="I3" s="28"/>
      <c r="J3" s="28"/>
      <c r="K3" s="28"/>
      <c r="L3" s="28"/>
      <c r="M3" s="29"/>
      <c r="N3" s="28"/>
      <c r="O3" s="28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2:35">
      <c r="B4" s="27"/>
      <c r="C4" s="28"/>
      <c r="D4" s="28"/>
      <c r="E4" s="28"/>
      <c r="F4" s="28"/>
      <c r="G4" s="28"/>
      <c r="H4" s="275"/>
      <c r="I4" s="28"/>
      <c r="J4" s="28"/>
      <c r="K4" s="28"/>
      <c r="L4" s="28"/>
      <c r="M4" s="29"/>
      <c r="N4" s="33"/>
      <c r="O4" s="34"/>
      <c r="P4" s="35"/>
      <c r="Q4" s="32"/>
      <c r="R4" s="32"/>
      <c r="S4" s="32"/>
      <c r="T4" s="32"/>
      <c r="U4" s="36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2:35" ht="41.25" customHeight="1">
      <c r="B5" s="344" t="s">
        <v>201</v>
      </c>
      <c r="C5" s="346" t="s">
        <v>202</v>
      </c>
      <c r="D5" s="346" t="s">
        <v>203</v>
      </c>
      <c r="E5" s="346" t="s">
        <v>204</v>
      </c>
      <c r="F5" s="348" t="s">
        <v>205</v>
      </c>
      <c r="G5" s="348"/>
      <c r="H5" s="276"/>
      <c r="I5" s="349" t="s">
        <v>206</v>
      </c>
      <c r="J5" s="349" t="s">
        <v>207</v>
      </c>
      <c r="K5" s="349" t="s">
        <v>206</v>
      </c>
      <c r="L5" s="349" t="s">
        <v>208</v>
      </c>
      <c r="M5" s="351" t="s">
        <v>209</v>
      </c>
      <c r="N5" s="37" t="s">
        <v>210</v>
      </c>
      <c r="O5" s="346" t="s">
        <v>211</v>
      </c>
      <c r="P5" s="340" t="s">
        <v>212</v>
      </c>
      <c r="Q5" s="341"/>
      <c r="R5" s="38" t="s">
        <v>213</v>
      </c>
      <c r="S5" s="39" t="s">
        <v>214</v>
      </c>
      <c r="T5" s="40" t="s">
        <v>215</v>
      </c>
      <c r="U5" s="41" t="s">
        <v>216</v>
      </c>
      <c r="V5" s="42" t="s">
        <v>217</v>
      </c>
      <c r="W5" s="42" t="s">
        <v>218</v>
      </c>
      <c r="X5" s="42" t="s">
        <v>219</v>
      </c>
      <c r="Y5" s="43" t="s">
        <v>220</v>
      </c>
      <c r="Z5" s="43" t="s">
        <v>221</v>
      </c>
      <c r="AA5" s="43" t="s">
        <v>222</v>
      </c>
      <c r="AB5" s="43" t="s">
        <v>223</v>
      </c>
      <c r="AC5" s="44" t="s">
        <v>224</v>
      </c>
      <c r="AD5" s="43" t="s">
        <v>225</v>
      </c>
      <c r="AE5" s="45"/>
      <c r="AF5" s="45"/>
      <c r="AG5" s="32"/>
    </row>
    <row r="6" spans="2:35" ht="27" customHeight="1">
      <c r="B6" s="345"/>
      <c r="C6" s="347"/>
      <c r="D6" s="347"/>
      <c r="E6" s="347"/>
      <c r="F6" s="46" t="s">
        <v>226</v>
      </c>
      <c r="G6" s="46" t="s">
        <v>227</v>
      </c>
      <c r="H6" s="277"/>
      <c r="I6" s="350"/>
      <c r="J6" s="350"/>
      <c r="K6" s="350"/>
      <c r="L6" s="350"/>
      <c r="M6" s="352"/>
      <c r="N6" s="47"/>
      <c r="O6" s="347"/>
      <c r="P6" s="342"/>
      <c r="Q6" s="343"/>
      <c r="R6" s="48"/>
      <c r="S6" s="49" t="s">
        <v>228</v>
      </c>
      <c r="T6" s="50"/>
      <c r="U6" s="51"/>
      <c r="V6" s="52"/>
      <c r="W6" s="52"/>
      <c r="X6" s="52"/>
      <c r="Y6" s="53"/>
      <c r="Z6" s="53"/>
      <c r="AA6" s="53"/>
      <c r="AB6" s="53"/>
      <c r="AC6" s="54"/>
      <c r="AD6" s="55"/>
      <c r="AE6" s="45"/>
      <c r="AF6" s="45"/>
      <c r="AG6" s="32"/>
    </row>
    <row r="7" spans="2:35" ht="14.25" customHeight="1">
      <c r="B7" s="56"/>
      <c r="C7" s="57" t="s">
        <v>229</v>
      </c>
      <c r="D7" s="56"/>
      <c r="E7" s="56"/>
      <c r="F7" s="56"/>
      <c r="G7" s="56"/>
      <c r="H7" s="194"/>
      <c r="I7" s="56"/>
      <c r="J7" s="56"/>
      <c r="K7" s="56"/>
      <c r="L7" s="56"/>
      <c r="M7" s="58"/>
      <c r="N7" s="58"/>
      <c r="O7" s="59"/>
      <c r="P7" s="56"/>
      <c r="Q7" s="60"/>
      <c r="R7" s="56"/>
      <c r="S7" s="56"/>
      <c r="T7" s="56"/>
      <c r="U7" s="61"/>
      <c r="V7" s="61"/>
      <c r="W7" s="61"/>
      <c r="X7" s="36"/>
      <c r="Y7" s="32"/>
      <c r="Z7" s="32"/>
      <c r="AA7" s="32"/>
      <c r="AB7" s="32"/>
      <c r="AC7" s="32"/>
      <c r="AD7" s="62"/>
      <c r="AE7" s="36"/>
      <c r="AF7" s="36"/>
      <c r="AG7" s="32"/>
    </row>
    <row r="8" spans="2:35" ht="14.25" customHeight="1">
      <c r="B8" s="63">
        <v>1</v>
      </c>
      <c r="C8" s="64" t="s">
        <v>230</v>
      </c>
      <c r="D8" s="65" t="s">
        <v>231</v>
      </c>
      <c r="E8" s="65"/>
      <c r="F8" s="66">
        <v>507</v>
      </c>
      <c r="G8" s="67">
        <f t="shared" ref="G8:G25" si="0">10000000+F8*1000</f>
        <v>10507000</v>
      </c>
      <c r="H8" s="278" t="s">
        <v>230</v>
      </c>
      <c r="I8" s="66" t="s">
        <v>232</v>
      </c>
      <c r="J8" s="66" t="s">
        <v>125</v>
      </c>
      <c r="K8" s="66" t="s">
        <v>232</v>
      </c>
      <c r="L8" s="66" t="s">
        <v>233</v>
      </c>
      <c r="M8" s="68">
        <f t="shared" ref="M8:M25" si="1">O8*N8/1000</f>
        <v>4463000</v>
      </c>
      <c r="N8" s="68">
        <v>100</v>
      </c>
      <c r="O8" s="69">
        <v>44630000</v>
      </c>
      <c r="P8" s="70">
        <v>1</v>
      </c>
      <c r="Q8" s="71">
        <v>44630000</v>
      </c>
      <c r="R8" s="72"/>
      <c r="S8" s="73"/>
      <c r="T8" s="73"/>
      <c r="U8" s="36"/>
      <c r="V8" s="36"/>
      <c r="W8" s="36"/>
      <c r="X8" s="74"/>
      <c r="Y8" s="36"/>
      <c r="Z8" s="36"/>
      <c r="AA8" s="36"/>
      <c r="AB8" s="74"/>
      <c r="AC8" s="36"/>
      <c r="AD8" s="75"/>
      <c r="AE8" s="75"/>
      <c r="AF8" s="75" t="s">
        <v>234</v>
      </c>
      <c r="AG8" s="32" t="s">
        <v>235</v>
      </c>
    </row>
    <row r="9" spans="2:35" ht="14.25" customHeight="1">
      <c r="B9" s="63">
        <f t="shared" ref="B9:B25" si="2">B8+1</f>
        <v>2</v>
      </c>
      <c r="C9" s="64" t="s">
        <v>236</v>
      </c>
      <c r="D9" s="65" t="s">
        <v>237</v>
      </c>
      <c r="E9" s="65"/>
      <c r="F9" s="66">
        <v>481</v>
      </c>
      <c r="G9" s="67">
        <f t="shared" si="0"/>
        <v>10481000</v>
      </c>
      <c r="H9" s="278" t="s">
        <v>236</v>
      </c>
      <c r="I9" s="66" t="s">
        <v>232</v>
      </c>
      <c r="J9" s="66" t="s">
        <v>238</v>
      </c>
      <c r="K9" s="66" t="s">
        <v>232</v>
      </c>
      <c r="L9" s="66" t="s">
        <v>239</v>
      </c>
      <c r="M9" s="68">
        <f t="shared" si="1"/>
        <v>38465</v>
      </c>
      <c r="N9" s="68">
        <v>5000</v>
      </c>
      <c r="O9" s="69">
        <v>7693</v>
      </c>
      <c r="P9" s="76">
        <f>+Q9/O9</f>
        <v>1</v>
      </c>
      <c r="Q9" s="71">
        <v>7693</v>
      </c>
      <c r="R9" s="77"/>
      <c r="S9" s="66" t="s">
        <v>240</v>
      </c>
      <c r="T9" s="77"/>
      <c r="U9" s="78"/>
      <c r="V9" s="78"/>
      <c r="W9" s="78"/>
      <c r="X9" s="79">
        <v>35992</v>
      </c>
      <c r="Y9" s="78"/>
      <c r="Z9" s="78"/>
      <c r="AA9" s="78"/>
      <c r="AB9" s="79"/>
      <c r="AC9" s="78"/>
      <c r="AD9" s="80"/>
      <c r="AE9" s="75"/>
      <c r="AF9" s="75"/>
      <c r="AG9" s="81" t="s">
        <v>241</v>
      </c>
    </row>
    <row r="10" spans="2:35" ht="14.25" customHeight="1">
      <c r="B10" s="63">
        <f t="shared" si="2"/>
        <v>3</v>
      </c>
      <c r="C10" s="64" t="s">
        <v>242</v>
      </c>
      <c r="D10" s="65" t="s">
        <v>243</v>
      </c>
      <c r="E10" s="65"/>
      <c r="F10" s="66">
        <v>505</v>
      </c>
      <c r="G10" s="67">
        <f t="shared" si="0"/>
        <v>10505000</v>
      </c>
      <c r="H10" s="278" t="s">
        <v>242</v>
      </c>
      <c r="I10" s="66" t="s">
        <v>244</v>
      </c>
      <c r="J10" s="66" t="s">
        <v>132</v>
      </c>
      <c r="K10" s="66" t="s">
        <v>244</v>
      </c>
      <c r="L10" s="66" t="s">
        <v>245</v>
      </c>
      <c r="M10" s="68">
        <f t="shared" si="1"/>
        <v>3384431.4</v>
      </c>
      <c r="N10" s="68">
        <v>100</v>
      </c>
      <c r="O10" s="69">
        <v>33844314</v>
      </c>
      <c r="P10" s="70">
        <v>1</v>
      </c>
      <c r="Q10" s="71">
        <v>33844314</v>
      </c>
      <c r="R10" s="72"/>
      <c r="S10" s="73"/>
      <c r="T10" s="73"/>
      <c r="U10" s="36"/>
      <c r="V10" s="36"/>
      <c r="W10" s="36"/>
      <c r="X10" s="74"/>
      <c r="Y10" s="36"/>
      <c r="Z10" s="36"/>
      <c r="AA10" s="36"/>
      <c r="AB10" s="74"/>
      <c r="AC10" s="36"/>
      <c r="AD10" s="75"/>
      <c r="AE10" s="75"/>
      <c r="AF10" s="75"/>
      <c r="AG10" s="32" t="s">
        <v>246</v>
      </c>
    </row>
    <row r="11" spans="2:35" ht="14.25" customHeight="1">
      <c r="B11" s="63">
        <f t="shared" si="2"/>
        <v>4</v>
      </c>
      <c r="C11" s="64" t="s">
        <v>247</v>
      </c>
      <c r="D11" s="65" t="s">
        <v>248</v>
      </c>
      <c r="E11" s="65"/>
      <c r="F11" s="66">
        <v>496</v>
      </c>
      <c r="G11" s="67">
        <f t="shared" si="0"/>
        <v>10496000</v>
      </c>
      <c r="H11" s="278" t="s">
        <v>247</v>
      </c>
      <c r="I11" s="66" t="s">
        <v>244</v>
      </c>
      <c r="J11" s="66" t="s">
        <v>77</v>
      </c>
      <c r="K11" s="66" t="s">
        <v>244</v>
      </c>
      <c r="L11" s="66" t="s">
        <v>233</v>
      </c>
      <c r="M11" s="68">
        <f t="shared" si="1"/>
        <v>10101628</v>
      </c>
      <c r="N11" s="68">
        <v>100</v>
      </c>
      <c r="O11" s="69">
        <f>37717879+63298401</f>
        <v>101016280</v>
      </c>
      <c r="P11" s="70">
        <v>1</v>
      </c>
      <c r="Q11" s="69">
        <f>37717879+63298401</f>
        <v>101016280</v>
      </c>
      <c r="R11" s="72"/>
      <c r="S11" s="73"/>
      <c r="T11" s="73"/>
      <c r="U11" s="36"/>
      <c r="V11" s="36"/>
      <c r="W11" s="36"/>
      <c r="X11" s="74"/>
      <c r="Y11" s="36"/>
      <c r="Z11" s="36"/>
      <c r="AA11" s="36"/>
      <c r="AB11" s="74"/>
      <c r="AC11" s="36"/>
      <c r="AD11" s="75"/>
      <c r="AE11" s="75"/>
      <c r="AF11" s="75" t="s">
        <v>234</v>
      </c>
      <c r="AG11" s="32" t="s">
        <v>249</v>
      </c>
    </row>
    <row r="12" spans="2:35" ht="14.25" customHeight="1">
      <c r="B12" s="63">
        <f t="shared" si="2"/>
        <v>5</v>
      </c>
      <c r="C12" s="64" t="s">
        <v>250</v>
      </c>
      <c r="D12" s="78" t="s">
        <v>251</v>
      </c>
      <c r="E12" s="78"/>
      <c r="F12" s="66">
        <v>519</v>
      </c>
      <c r="G12" s="67">
        <f t="shared" si="0"/>
        <v>10519000</v>
      </c>
      <c r="H12" s="278" t="s">
        <v>250</v>
      </c>
      <c r="I12" s="66" t="s">
        <v>244</v>
      </c>
      <c r="J12" s="66" t="s">
        <v>84</v>
      </c>
      <c r="K12" s="66" t="s">
        <v>244</v>
      </c>
      <c r="L12" s="66" t="s">
        <v>245</v>
      </c>
      <c r="M12" s="68">
        <f t="shared" si="1"/>
        <v>1781336.3</v>
      </c>
      <c r="N12" s="68">
        <v>100</v>
      </c>
      <c r="O12" s="69">
        <v>17813363</v>
      </c>
      <c r="P12" s="70">
        <f>+Q12/O12</f>
        <v>1</v>
      </c>
      <c r="Q12" s="71">
        <v>17813363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82" t="s">
        <v>252</v>
      </c>
      <c r="AG12" s="32" t="s">
        <v>253</v>
      </c>
      <c r="AI12" s="24" t="s">
        <v>254</v>
      </c>
    </row>
    <row r="13" spans="2:35" ht="14.25" customHeight="1">
      <c r="B13" s="63">
        <f t="shared" si="2"/>
        <v>6</v>
      </c>
      <c r="C13" s="64" t="s">
        <v>255</v>
      </c>
      <c r="D13" s="65" t="s">
        <v>248</v>
      </c>
      <c r="E13" s="65"/>
      <c r="F13" s="66">
        <v>498</v>
      </c>
      <c r="G13" s="67">
        <f t="shared" si="0"/>
        <v>10498000</v>
      </c>
      <c r="H13" s="278" t="s">
        <v>255</v>
      </c>
      <c r="I13" s="66" t="s">
        <v>244</v>
      </c>
      <c r="J13" s="66" t="s">
        <v>129</v>
      </c>
      <c r="K13" s="66" t="s">
        <v>244</v>
      </c>
      <c r="L13" s="66" t="s">
        <v>233</v>
      </c>
      <c r="M13" s="68">
        <f t="shared" si="1"/>
        <v>9599204.5</v>
      </c>
      <c r="N13" s="68">
        <v>100</v>
      </c>
      <c r="O13" s="69">
        <v>95992045</v>
      </c>
      <c r="P13" s="70">
        <v>1</v>
      </c>
      <c r="Q13" s="69">
        <v>95992045</v>
      </c>
      <c r="R13" s="72"/>
      <c r="S13" s="73"/>
      <c r="T13" s="73"/>
      <c r="U13" s="36"/>
      <c r="V13" s="36"/>
      <c r="W13" s="36"/>
      <c r="X13" s="74"/>
      <c r="Y13" s="36"/>
      <c r="Z13" s="36"/>
      <c r="AA13" s="36"/>
      <c r="AB13" s="74"/>
      <c r="AC13" s="36"/>
      <c r="AD13" s="75"/>
      <c r="AE13" s="75"/>
      <c r="AF13" s="75" t="s">
        <v>234</v>
      </c>
      <c r="AG13" s="32" t="s">
        <v>256</v>
      </c>
    </row>
    <row r="14" spans="2:35" ht="14.25" customHeight="1">
      <c r="B14" s="63">
        <f t="shared" si="2"/>
        <v>7</v>
      </c>
      <c r="C14" s="64" t="s">
        <v>257</v>
      </c>
      <c r="D14" s="65" t="s">
        <v>258</v>
      </c>
      <c r="E14" s="32"/>
      <c r="F14" s="66">
        <v>526</v>
      </c>
      <c r="G14" s="67">
        <f t="shared" si="0"/>
        <v>10526000</v>
      </c>
      <c r="H14" s="278" t="s">
        <v>257</v>
      </c>
      <c r="I14" s="66" t="s">
        <v>244</v>
      </c>
      <c r="J14" s="66" t="s">
        <v>130</v>
      </c>
      <c r="K14" s="66" t="s">
        <v>244</v>
      </c>
      <c r="L14" s="66" t="s">
        <v>259</v>
      </c>
      <c r="M14" s="68">
        <f t="shared" si="1"/>
        <v>21353312</v>
      </c>
      <c r="N14" s="68">
        <v>1000</v>
      </c>
      <c r="O14" s="69">
        <v>21353312</v>
      </c>
      <c r="P14" s="70">
        <v>1</v>
      </c>
      <c r="Q14" s="71">
        <v>21353312</v>
      </c>
      <c r="R14" s="72"/>
      <c r="S14" s="73"/>
      <c r="T14" s="73"/>
      <c r="U14" s="36"/>
      <c r="V14" s="36"/>
      <c r="W14" s="36"/>
      <c r="X14" s="74"/>
      <c r="Y14" s="36"/>
      <c r="Z14" s="36"/>
      <c r="AA14" s="36"/>
      <c r="AB14" s="74"/>
      <c r="AC14" s="36"/>
      <c r="AD14" s="75"/>
      <c r="AE14" s="75"/>
      <c r="AF14" s="75"/>
      <c r="AG14" s="32"/>
    </row>
    <row r="15" spans="2:35" ht="14.25" customHeight="1">
      <c r="B15" s="63">
        <f t="shared" si="2"/>
        <v>8</v>
      </c>
      <c r="C15" s="64" t="s">
        <v>260</v>
      </c>
      <c r="D15" s="65" t="s">
        <v>261</v>
      </c>
      <c r="E15" s="65"/>
      <c r="F15" s="66">
        <v>513</v>
      </c>
      <c r="G15" s="67">
        <f t="shared" si="0"/>
        <v>10513000</v>
      </c>
      <c r="H15" s="278" t="s">
        <v>260</v>
      </c>
      <c r="I15" s="66" t="s">
        <v>262</v>
      </c>
      <c r="J15" s="66" t="s">
        <v>126</v>
      </c>
      <c r="K15" s="66" t="s">
        <v>262</v>
      </c>
      <c r="L15" s="66" t="s">
        <v>233</v>
      </c>
      <c r="M15" s="68">
        <f t="shared" si="1"/>
        <v>7627500</v>
      </c>
      <c r="N15" s="68">
        <v>100</v>
      </c>
      <c r="O15" s="69">
        <v>76275000</v>
      </c>
      <c r="P15" s="70">
        <f>+Q15/O15</f>
        <v>1</v>
      </c>
      <c r="Q15" s="71">
        <v>76275000</v>
      </c>
      <c r="R15" s="72"/>
      <c r="S15" s="73"/>
      <c r="T15" s="73"/>
      <c r="U15" s="36"/>
      <c r="V15" s="36"/>
      <c r="W15" s="36"/>
      <c r="X15" s="74"/>
      <c r="Y15" s="36"/>
      <c r="Z15" s="36"/>
      <c r="AA15" s="36"/>
      <c r="AB15" s="74"/>
      <c r="AC15" s="36"/>
      <c r="AD15" s="75"/>
      <c r="AE15" s="75"/>
      <c r="AF15" s="75" t="s">
        <v>234</v>
      </c>
      <c r="AG15" s="36" t="s">
        <v>263</v>
      </c>
      <c r="AH15" s="83"/>
    </row>
    <row r="16" spans="2:35" ht="14.25" customHeight="1">
      <c r="B16" s="63">
        <f t="shared" si="2"/>
        <v>9</v>
      </c>
      <c r="C16" s="64" t="s">
        <v>264</v>
      </c>
      <c r="D16" s="65" t="s">
        <v>261</v>
      </c>
      <c r="E16" s="65"/>
      <c r="F16" s="66">
        <v>514</v>
      </c>
      <c r="G16" s="67">
        <f t="shared" si="0"/>
        <v>10514000</v>
      </c>
      <c r="H16" s="278" t="s">
        <v>264</v>
      </c>
      <c r="I16" s="66" t="s">
        <v>232</v>
      </c>
      <c r="J16" s="66" t="s">
        <v>81</v>
      </c>
      <c r="K16" s="66" t="s">
        <v>232</v>
      </c>
      <c r="L16" s="66" t="s">
        <v>233</v>
      </c>
      <c r="M16" s="68">
        <f t="shared" si="1"/>
        <v>67178200</v>
      </c>
      <c r="N16" s="68">
        <v>100</v>
      </c>
      <c r="O16" s="69">
        <v>671782000</v>
      </c>
      <c r="P16" s="70">
        <f>+Q16/O16</f>
        <v>1</v>
      </c>
      <c r="Q16" s="71">
        <v>671782000</v>
      </c>
      <c r="R16" s="72"/>
      <c r="S16" s="73"/>
      <c r="T16" s="73"/>
      <c r="U16" s="36"/>
      <c r="V16" s="36"/>
      <c r="W16" s="36"/>
      <c r="X16" s="74"/>
      <c r="Y16" s="36"/>
      <c r="Z16" s="36"/>
      <c r="AA16" s="36"/>
      <c r="AB16" s="74"/>
      <c r="AC16" s="36"/>
      <c r="AD16" s="75"/>
      <c r="AE16" s="75"/>
      <c r="AF16" s="75" t="s">
        <v>234</v>
      </c>
      <c r="AG16" s="78" t="s">
        <v>265</v>
      </c>
      <c r="AH16" s="84"/>
    </row>
    <row r="17" spans="2:35" ht="14.25" customHeight="1">
      <c r="B17" s="63">
        <f t="shared" si="2"/>
        <v>10</v>
      </c>
      <c r="C17" s="64" t="s">
        <v>266</v>
      </c>
      <c r="D17" s="65" t="s">
        <v>248</v>
      </c>
      <c r="E17" s="65"/>
      <c r="F17" s="66">
        <v>502</v>
      </c>
      <c r="G17" s="67">
        <f t="shared" si="0"/>
        <v>10502000</v>
      </c>
      <c r="H17" s="278" t="s">
        <v>266</v>
      </c>
      <c r="I17" s="66" t="s">
        <v>232</v>
      </c>
      <c r="J17" s="66" t="s">
        <v>137</v>
      </c>
      <c r="K17" s="66" t="s">
        <v>232</v>
      </c>
      <c r="L17" s="66" t="s">
        <v>233</v>
      </c>
      <c r="M17" s="68">
        <f t="shared" si="1"/>
        <v>1821344.5</v>
      </c>
      <c r="N17" s="68">
        <f>100/4</f>
        <v>25</v>
      </c>
      <c r="O17" s="69">
        <f>18213445*4</f>
        <v>72853780</v>
      </c>
      <c r="P17" s="70">
        <v>1</v>
      </c>
      <c r="Q17" s="69">
        <f>18213445*4</f>
        <v>72853780</v>
      </c>
      <c r="R17" s="72"/>
      <c r="S17" s="73"/>
      <c r="T17" s="73"/>
      <c r="U17" s="36"/>
      <c r="V17" s="36"/>
      <c r="W17" s="36"/>
      <c r="X17" s="74"/>
      <c r="Y17" s="36"/>
      <c r="Z17" s="36"/>
      <c r="AA17" s="36"/>
      <c r="AB17" s="74"/>
      <c r="AC17" s="36"/>
      <c r="AD17" s="75"/>
      <c r="AE17" s="75"/>
      <c r="AF17" s="75" t="s">
        <v>234</v>
      </c>
      <c r="AG17" s="32" t="s">
        <v>267</v>
      </c>
      <c r="AI17" s="24" t="s">
        <v>268</v>
      </c>
    </row>
    <row r="18" spans="2:35" ht="14.25" customHeight="1">
      <c r="B18" s="63">
        <f t="shared" si="2"/>
        <v>11</v>
      </c>
      <c r="C18" s="64" t="s">
        <v>269</v>
      </c>
      <c r="D18" s="65" t="s">
        <v>248</v>
      </c>
      <c r="E18" s="65"/>
      <c r="F18" s="66">
        <v>504</v>
      </c>
      <c r="G18" s="67">
        <f t="shared" si="0"/>
        <v>10504000</v>
      </c>
      <c r="H18" s="278" t="s">
        <v>269</v>
      </c>
      <c r="I18" s="66" t="s">
        <v>232</v>
      </c>
      <c r="J18" s="66" t="s">
        <v>80</v>
      </c>
      <c r="K18" s="66" t="s">
        <v>232</v>
      </c>
      <c r="L18" s="66" t="s">
        <v>233</v>
      </c>
      <c r="M18" s="68">
        <f t="shared" si="1"/>
        <v>99362782.900000006</v>
      </c>
      <c r="N18" s="68">
        <v>100</v>
      </c>
      <c r="O18" s="69">
        <f>342353000+29770927+621503902</f>
        <v>993627829</v>
      </c>
      <c r="P18" s="70">
        <v>1</v>
      </c>
      <c r="Q18" s="69">
        <f>342353000+29770927+621503902</f>
        <v>993627829</v>
      </c>
      <c r="R18" s="72"/>
      <c r="S18" s="73"/>
      <c r="T18" s="73"/>
      <c r="U18" s="36"/>
      <c r="V18" s="36"/>
      <c r="W18" s="36"/>
      <c r="X18" s="74"/>
      <c r="Y18" s="36"/>
      <c r="Z18" s="36"/>
      <c r="AA18" s="36"/>
      <c r="AB18" s="74"/>
      <c r="AC18" s="36"/>
      <c r="AD18" s="75"/>
      <c r="AE18" s="75"/>
      <c r="AF18" s="75" t="s">
        <v>234</v>
      </c>
      <c r="AG18" s="32" t="s">
        <v>270</v>
      </c>
    </row>
    <row r="19" spans="2:35" ht="14.25" customHeight="1" thickBot="1">
      <c r="B19" s="63">
        <f t="shared" si="2"/>
        <v>12</v>
      </c>
      <c r="C19" s="64" t="s">
        <v>271</v>
      </c>
      <c r="D19" s="65" t="s">
        <v>272</v>
      </c>
      <c r="E19" s="65"/>
      <c r="F19" s="66">
        <v>510</v>
      </c>
      <c r="G19" s="67">
        <f t="shared" si="0"/>
        <v>10510000</v>
      </c>
      <c r="H19" s="278" t="s">
        <v>271</v>
      </c>
      <c r="I19" s="66" t="s">
        <v>232</v>
      </c>
      <c r="J19" s="66" t="s">
        <v>166</v>
      </c>
      <c r="K19" s="66" t="s">
        <v>232</v>
      </c>
      <c r="L19" s="66" t="s">
        <v>245</v>
      </c>
      <c r="M19" s="68">
        <f t="shared" si="1"/>
        <v>23130593.600000001</v>
      </c>
      <c r="N19" s="68">
        <v>100</v>
      </c>
      <c r="O19" s="71">
        <f>18677088+200162912+12465936</f>
        <v>231305936</v>
      </c>
      <c r="P19" s="70">
        <v>1</v>
      </c>
      <c r="Q19" s="71">
        <f>18677088+200162912+12465936</f>
        <v>231305936</v>
      </c>
      <c r="R19" s="72"/>
      <c r="S19" s="73"/>
      <c r="T19" s="73"/>
      <c r="U19" s="36"/>
      <c r="V19" s="36"/>
      <c r="W19" s="36"/>
      <c r="X19" s="74"/>
      <c r="Y19" s="36"/>
      <c r="Z19" s="36"/>
      <c r="AA19" s="36"/>
      <c r="AB19" s="74"/>
      <c r="AC19" s="36"/>
      <c r="AD19" s="75"/>
      <c r="AE19" s="75"/>
      <c r="AF19" s="75" t="s">
        <v>234</v>
      </c>
      <c r="AG19" s="85" t="s">
        <v>273</v>
      </c>
      <c r="AH19" s="86"/>
    </row>
    <row r="20" spans="2:35" ht="14.25" customHeight="1">
      <c r="B20" s="63">
        <f t="shared" si="2"/>
        <v>13</v>
      </c>
      <c r="C20" s="64" t="s">
        <v>274</v>
      </c>
      <c r="D20" s="65" t="s">
        <v>275</v>
      </c>
      <c r="E20" s="65"/>
      <c r="F20" s="66">
        <v>536</v>
      </c>
      <c r="G20" s="67">
        <f t="shared" si="0"/>
        <v>10536000</v>
      </c>
      <c r="H20" s="278" t="s">
        <v>274</v>
      </c>
      <c r="I20" s="66" t="s">
        <v>232</v>
      </c>
      <c r="J20" s="66" t="s">
        <v>167</v>
      </c>
      <c r="K20" s="66" t="s">
        <v>232</v>
      </c>
      <c r="L20" s="66" t="s">
        <v>233</v>
      </c>
      <c r="M20" s="68">
        <f t="shared" si="1"/>
        <v>20727700</v>
      </c>
      <c r="N20" s="68">
        <v>100</v>
      </c>
      <c r="O20" s="69">
        <f>226000+207051000</f>
        <v>207277000</v>
      </c>
      <c r="P20" s="70">
        <v>1</v>
      </c>
      <c r="Q20" s="71">
        <f>O20</f>
        <v>207277000</v>
      </c>
      <c r="R20" s="72"/>
      <c r="S20" s="73"/>
      <c r="T20" s="73"/>
      <c r="U20" s="36"/>
      <c r="V20" s="36"/>
      <c r="W20" s="36"/>
      <c r="X20" s="74"/>
      <c r="Y20" s="36"/>
      <c r="Z20" s="36"/>
      <c r="AA20" s="36"/>
      <c r="AB20" s="74"/>
      <c r="AC20" s="36"/>
      <c r="AD20" s="75"/>
      <c r="AE20" s="75"/>
      <c r="AF20" s="75"/>
      <c r="AG20" s="36"/>
      <c r="AH20" s="83"/>
    </row>
    <row r="21" spans="2:35" ht="14.25" customHeight="1">
      <c r="B21" s="63">
        <f t="shared" si="2"/>
        <v>14</v>
      </c>
      <c r="C21" s="64" t="s">
        <v>276</v>
      </c>
      <c r="D21" s="65" t="s">
        <v>277</v>
      </c>
      <c r="E21" s="65"/>
      <c r="F21" s="66">
        <v>500</v>
      </c>
      <c r="G21" s="67">
        <f t="shared" si="0"/>
        <v>10500000</v>
      </c>
      <c r="H21" s="278" t="s">
        <v>276</v>
      </c>
      <c r="I21" s="66" t="s">
        <v>232</v>
      </c>
      <c r="J21" s="66" t="s">
        <v>175</v>
      </c>
      <c r="K21" s="66" t="s">
        <v>232</v>
      </c>
      <c r="L21" s="66" t="s">
        <v>233</v>
      </c>
      <c r="M21" s="68">
        <f t="shared" si="1"/>
        <v>1529198.5</v>
      </c>
      <c r="N21" s="68">
        <v>100</v>
      </c>
      <c r="O21" s="69">
        <v>15291985</v>
      </c>
      <c r="P21" s="70">
        <v>1</v>
      </c>
      <c r="Q21" s="71">
        <v>15291985</v>
      </c>
      <c r="R21" s="72"/>
      <c r="S21" s="73"/>
      <c r="T21" s="73"/>
      <c r="U21" s="36"/>
      <c r="V21" s="36"/>
      <c r="W21" s="36"/>
      <c r="X21" s="74"/>
      <c r="Y21" s="36"/>
      <c r="Z21" s="36"/>
      <c r="AA21" s="36"/>
      <c r="AB21" s="74"/>
      <c r="AC21" s="36"/>
      <c r="AD21" s="75"/>
      <c r="AE21" s="75"/>
      <c r="AF21" s="75"/>
      <c r="AG21" s="32" t="s">
        <v>278</v>
      </c>
    </row>
    <row r="22" spans="2:35" ht="14.25" customHeight="1">
      <c r="B22" s="63">
        <f t="shared" si="2"/>
        <v>15</v>
      </c>
      <c r="C22" s="64" t="s">
        <v>279</v>
      </c>
      <c r="D22" s="65" t="s">
        <v>280</v>
      </c>
      <c r="E22" s="65"/>
      <c r="F22" s="66">
        <v>515</v>
      </c>
      <c r="G22" s="67">
        <f t="shared" si="0"/>
        <v>10515000</v>
      </c>
      <c r="H22" s="278" t="s">
        <v>279</v>
      </c>
      <c r="I22" s="66" t="s">
        <v>232</v>
      </c>
      <c r="J22" s="66" t="s">
        <v>82</v>
      </c>
      <c r="K22" s="66" t="s">
        <v>232</v>
      </c>
      <c r="L22" s="66" t="s">
        <v>233</v>
      </c>
      <c r="M22" s="68">
        <f t="shared" si="1"/>
        <v>4125300</v>
      </c>
      <c r="N22" s="68">
        <v>100</v>
      </c>
      <c r="O22" s="69">
        <v>41253000</v>
      </c>
      <c r="P22" s="70">
        <f>+Q22/O22</f>
        <v>1</v>
      </c>
      <c r="Q22" s="71">
        <v>41253000</v>
      </c>
      <c r="R22" s="72"/>
      <c r="S22" s="73"/>
      <c r="T22" s="73"/>
      <c r="U22" s="36"/>
      <c r="V22" s="36"/>
      <c r="W22" s="36"/>
      <c r="X22" s="74"/>
      <c r="Y22" s="36"/>
      <c r="Z22" s="36"/>
      <c r="AA22" s="36"/>
      <c r="AB22" s="74"/>
      <c r="AC22" s="36"/>
      <c r="AD22" s="75"/>
      <c r="AE22" s="75"/>
      <c r="AF22" s="75" t="s">
        <v>234</v>
      </c>
      <c r="AG22" s="78" t="s">
        <v>281</v>
      </c>
      <c r="AH22" s="84"/>
    </row>
    <row r="23" spans="2:35" ht="15.75" customHeight="1">
      <c r="B23" s="63">
        <f t="shared" si="2"/>
        <v>16</v>
      </c>
      <c r="C23" s="64" t="s">
        <v>282</v>
      </c>
      <c r="D23" s="65" t="s">
        <v>248</v>
      </c>
      <c r="E23" s="65"/>
      <c r="F23" s="66">
        <v>497</v>
      </c>
      <c r="G23" s="67">
        <f t="shared" si="0"/>
        <v>10497000</v>
      </c>
      <c r="H23" s="278" t="s">
        <v>282</v>
      </c>
      <c r="I23" s="66" t="s">
        <v>232</v>
      </c>
      <c r="J23" s="66" t="s">
        <v>193</v>
      </c>
      <c r="K23" s="66" t="s">
        <v>232</v>
      </c>
      <c r="L23" s="66" t="s">
        <v>233</v>
      </c>
      <c r="M23" s="68">
        <f t="shared" si="1"/>
        <v>100866295.59999999</v>
      </c>
      <c r="N23" s="68">
        <v>100</v>
      </c>
      <c r="O23" s="69">
        <f>155578283+853084673</f>
        <v>1008662956</v>
      </c>
      <c r="P23" s="70">
        <v>1</v>
      </c>
      <c r="Q23" s="69">
        <f>155578283+853084673</f>
        <v>1008662956</v>
      </c>
      <c r="R23" s="72"/>
      <c r="S23" s="73"/>
      <c r="T23" s="73"/>
      <c r="U23" s="36"/>
      <c r="V23" s="36"/>
      <c r="W23" s="36"/>
      <c r="X23" s="74"/>
      <c r="Y23" s="36"/>
      <c r="Z23" s="36"/>
      <c r="AA23" s="36"/>
      <c r="AB23" s="74"/>
      <c r="AC23" s="36"/>
      <c r="AD23" s="75"/>
      <c r="AE23" s="75"/>
      <c r="AF23" s="75" t="s">
        <v>234</v>
      </c>
      <c r="AG23" s="32" t="s">
        <v>283</v>
      </c>
    </row>
    <row r="24" spans="2:35" ht="15.75" customHeight="1">
      <c r="B24" s="63">
        <f t="shared" si="2"/>
        <v>17</v>
      </c>
      <c r="C24" s="64" t="s">
        <v>284</v>
      </c>
      <c r="D24" s="65" t="s">
        <v>285</v>
      </c>
      <c r="E24" s="65"/>
      <c r="F24" s="66">
        <v>506</v>
      </c>
      <c r="G24" s="67">
        <f t="shared" si="0"/>
        <v>10506000</v>
      </c>
      <c r="H24" s="278" t="s">
        <v>284</v>
      </c>
      <c r="I24" s="66" t="s">
        <v>286</v>
      </c>
      <c r="J24" s="66" t="s">
        <v>142</v>
      </c>
      <c r="K24" s="66" t="s">
        <v>286</v>
      </c>
      <c r="L24" s="66" t="s">
        <v>245</v>
      </c>
      <c r="M24" s="68">
        <f t="shared" si="1"/>
        <v>1202502.2</v>
      </c>
      <c r="N24" s="68">
        <v>100</v>
      </c>
      <c r="O24" s="69">
        <v>12025022</v>
      </c>
      <c r="P24" s="70">
        <v>1</v>
      </c>
      <c r="Q24" s="71">
        <v>12025022</v>
      </c>
      <c r="R24" s="72"/>
      <c r="S24" s="73"/>
      <c r="T24" s="73"/>
      <c r="U24" s="36"/>
      <c r="V24" s="36"/>
      <c r="W24" s="36"/>
      <c r="X24" s="74"/>
      <c r="Y24" s="36"/>
      <c r="Z24" s="36"/>
      <c r="AA24" s="36"/>
      <c r="AB24" s="74"/>
      <c r="AC24" s="36"/>
      <c r="AD24" s="75"/>
      <c r="AE24" s="75"/>
      <c r="AF24" s="75"/>
      <c r="AG24" s="32" t="s">
        <v>287</v>
      </c>
    </row>
    <row r="25" spans="2:35" ht="15.75" customHeight="1" thickBot="1">
      <c r="B25" s="63">
        <f t="shared" si="2"/>
        <v>18</v>
      </c>
      <c r="C25" s="64" t="s">
        <v>288</v>
      </c>
      <c r="D25" s="65" t="s">
        <v>248</v>
      </c>
      <c r="E25" s="65"/>
      <c r="F25" s="66">
        <v>499</v>
      </c>
      <c r="G25" s="67">
        <f t="shared" si="0"/>
        <v>10499000</v>
      </c>
      <c r="H25" s="278" t="s">
        <v>288</v>
      </c>
      <c r="I25" s="66" t="s">
        <v>286</v>
      </c>
      <c r="J25" s="66" t="s">
        <v>78</v>
      </c>
      <c r="K25" s="66" t="s">
        <v>286</v>
      </c>
      <c r="L25" s="66" t="s">
        <v>233</v>
      </c>
      <c r="M25" s="68">
        <f t="shared" si="1"/>
        <v>19447456.699999999</v>
      </c>
      <c r="N25" s="68">
        <v>100</v>
      </c>
      <c r="O25" s="69">
        <v>194474567</v>
      </c>
      <c r="P25" s="70">
        <v>1</v>
      </c>
      <c r="Q25" s="69">
        <v>194474567</v>
      </c>
      <c r="R25" s="72"/>
      <c r="S25" s="73"/>
      <c r="T25" s="73"/>
      <c r="U25" s="36"/>
      <c r="V25" s="36"/>
      <c r="W25" s="36"/>
      <c r="X25" s="74"/>
      <c r="Y25" s="36"/>
      <c r="Z25" s="36"/>
      <c r="AA25" s="36"/>
      <c r="AB25" s="74"/>
      <c r="AC25" s="36"/>
      <c r="AD25" s="75"/>
      <c r="AE25" s="75"/>
      <c r="AF25" s="75" t="s">
        <v>234</v>
      </c>
      <c r="AG25" s="85" t="s">
        <v>289</v>
      </c>
      <c r="AH25" s="86"/>
    </row>
    <row r="26" spans="2:35">
      <c r="B26" s="63">
        <v>1</v>
      </c>
      <c r="C26" s="64" t="s">
        <v>290</v>
      </c>
      <c r="D26" s="64" t="s">
        <v>291</v>
      </c>
      <c r="E26" s="64"/>
      <c r="F26" s="66">
        <v>452</v>
      </c>
      <c r="G26" s="67">
        <f t="shared" ref="G26:G35" si="3">10000000+F26*1000</f>
        <v>10452000</v>
      </c>
      <c r="H26" s="278" t="s">
        <v>290</v>
      </c>
      <c r="I26" s="66" t="s">
        <v>232</v>
      </c>
      <c r="J26" s="66" t="s">
        <v>117</v>
      </c>
      <c r="K26" s="66" t="s">
        <v>232</v>
      </c>
      <c r="L26" s="66" t="s">
        <v>245</v>
      </c>
      <c r="M26" s="93">
        <f t="shared" ref="M26:M35" si="4">O26*N26/1000</f>
        <v>231327.9</v>
      </c>
      <c r="N26" s="93">
        <v>100</v>
      </c>
      <c r="O26" s="94">
        <v>2313279</v>
      </c>
      <c r="P26" s="70">
        <f t="shared" ref="P26:P34" si="5">+Q26/O26</f>
        <v>0.50999987463682506</v>
      </c>
      <c r="Q26" s="71">
        <v>1179772</v>
      </c>
      <c r="R26" s="94" t="s">
        <v>234</v>
      </c>
      <c r="S26" s="94" t="s">
        <v>292</v>
      </c>
      <c r="T26" s="94" t="s">
        <v>293</v>
      </c>
      <c r="U26" s="78">
        <v>677519.4</v>
      </c>
      <c r="V26" s="78"/>
      <c r="W26" s="78"/>
      <c r="X26" s="78"/>
      <c r="Y26" s="78"/>
      <c r="Z26" s="78"/>
      <c r="AA26" s="78"/>
      <c r="AB26" s="78"/>
      <c r="AC26" s="95"/>
      <c r="AD26" s="96"/>
      <c r="AE26" s="97"/>
      <c r="AF26" s="92"/>
      <c r="AG26" s="32"/>
    </row>
    <row r="27" spans="2:35">
      <c r="B27" s="63">
        <f t="shared" ref="B27:B35" si="6">B26+1</f>
        <v>2</v>
      </c>
      <c r="C27" s="64" t="s">
        <v>294</v>
      </c>
      <c r="D27" s="64" t="s">
        <v>295</v>
      </c>
      <c r="E27" s="64"/>
      <c r="F27" s="66">
        <v>445</v>
      </c>
      <c r="G27" s="67">
        <f t="shared" si="3"/>
        <v>10445000</v>
      </c>
      <c r="H27" s="278" t="s">
        <v>294</v>
      </c>
      <c r="I27" s="66" t="s">
        <v>296</v>
      </c>
      <c r="J27" s="66" t="s">
        <v>67</v>
      </c>
      <c r="K27" s="66" t="s">
        <v>296</v>
      </c>
      <c r="L27" s="66" t="s">
        <v>259</v>
      </c>
      <c r="M27" s="93">
        <f t="shared" si="4"/>
        <v>25260.799999999999</v>
      </c>
      <c r="N27" s="93">
        <v>100</v>
      </c>
      <c r="O27" s="94">
        <v>252608</v>
      </c>
      <c r="P27" s="70">
        <f t="shared" si="5"/>
        <v>0.69999762477831262</v>
      </c>
      <c r="Q27" s="71">
        <v>176825</v>
      </c>
      <c r="R27" s="94" t="s">
        <v>296</v>
      </c>
      <c r="S27" s="94" t="s">
        <v>297</v>
      </c>
      <c r="T27" s="94" t="s">
        <v>298</v>
      </c>
      <c r="U27" s="78"/>
      <c r="V27" s="78"/>
      <c r="W27" s="78"/>
      <c r="X27" s="78"/>
      <c r="Y27" s="78"/>
      <c r="Z27" s="78"/>
      <c r="AA27" s="78"/>
      <c r="AB27" s="78"/>
      <c r="AC27" s="95"/>
      <c r="AD27" s="96"/>
      <c r="AE27" s="97"/>
      <c r="AF27" s="92"/>
      <c r="AG27" s="32"/>
    </row>
    <row r="28" spans="2:35">
      <c r="B28" s="63">
        <f t="shared" si="6"/>
        <v>3</v>
      </c>
      <c r="C28" s="64" t="s">
        <v>299</v>
      </c>
      <c r="D28" s="64" t="s">
        <v>300</v>
      </c>
      <c r="E28" s="64"/>
      <c r="F28" s="66">
        <v>396</v>
      </c>
      <c r="G28" s="67">
        <f t="shared" si="3"/>
        <v>10396000</v>
      </c>
      <c r="H28" s="278" t="s">
        <v>299</v>
      </c>
      <c r="I28" s="66" t="s">
        <v>232</v>
      </c>
      <c r="J28" s="66" t="s">
        <v>61</v>
      </c>
      <c r="K28" s="66" t="s">
        <v>232</v>
      </c>
      <c r="L28" s="66" t="s">
        <v>259</v>
      </c>
      <c r="M28" s="93">
        <f t="shared" si="4"/>
        <v>2097436</v>
      </c>
      <c r="N28" s="93">
        <v>100</v>
      </c>
      <c r="O28" s="94">
        <f>20974360+9870287-9870287</f>
        <v>20974360</v>
      </c>
      <c r="P28" s="70">
        <f t="shared" si="5"/>
        <v>0.75</v>
      </c>
      <c r="Q28" s="71">
        <v>15730770</v>
      </c>
      <c r="R28" s="94" t="s">
        <v>234</v>
      </c>
      <c r="S28" s="94" t="s">
        <v>292</v>
      </c>
      <c r="T28" s="94" t="s">
        <v>301</v>
      </c>
      <c r="U28" s="78"/>
      <c r="V28" s="78"/>
      <c r="W28" s="78"/>
      <c r="X28" s="78"/>
      <c r="Y28" s="78"/>
      <c r="Z28" s="78"/>
      <c r="AA28" s="78"/>
      <c r="AB28" s="78"/>
      <c r="AC28" s="95"/>
      <c r="AD28" s="96"/>
      <c r="AE28" s="97"/>
      <c r="AF28" s="98"/>
      <c r="AG28" s="32"/>
    </row>
    <row r="29" spans="2:35">
      <c r="B29" s="63">
        <f t="shared" si="6"/>
        <v>4</v>
      </c>
      <c r="C29" s="64" t="s">
        <v>302</v>
      </c>
      <c r="D29" s="64" t="s">
        <v>303</v>
      </c>
      <c r="E29" s="64"/>
      <c r="F29" s="66">
        <v>444</v>
      </c>
      <c r="G29" s="67">
        <f t="shared" si="3"/>
        <v>10444000</v>
      </c>
      <c r="H29" s="278" t="s">
        <v>302</v>
      </c>
      <c r="I29" s="66" t="s">
        <v>304</v>
      </c>
      <c r="J29" s="66" t="s">
        <v>66</v>
      </c>
      <c r="K29" s="66" t="s">
        <v>304</v>
      </c>
      <c r="L29" s="66" t="s">
        <v>259</v>
      </c>
      <c r="M29" s="93">
        <f t="shared" si="4"/>
        <v>82962.2</v>
      </c>
      <c r="N29" s="93">
        <v>100</v>
      </c>
      <c r="O29" s="94">
        <v>829622</v>
      </c>
      <c r="P29" s="70">
        <f t="shared" si="5"/>
        <v>0.50999973481898986</v>
      </c>
      <c r="Q29" s="71">
        <v>423107</v>
      </c>
      <c r="R29" s="94" t="s">
        <v>305</v>
      </c>
      <c r="S29" s="94" t="s">
        <v>306</v>
      </c>
      <c r="T29" s="94" t="s">
        <v>307</v>
      </c>
      <c r="U29" s="78">
        <v>179234.4</v>
      </c>
      <c r="V29" s="78"/>
      <c r="W29" s="78"/>
      <c r="X29" s="78"/>
      <c r="Y29" s="78"/>
      <c r="Z29" s="78"/>
      <c r="AA29" s="78"/>
      <c r="AB29" s="78"/>
      <c r="AC29" s="95"/>
      <c r="AD29" s="96"/>
      <c r="AE29" s="97"/>
      <c r="AF29" s="92"/>
      <c r="AG29" s="32"/>
    </row>
    <row r="30" spans="2:35">
      <c r="B30" s="63">
        <f t="shared" si="6"/>
        <v>5</v>
      </c>
      <c r="C30" s="64" t="s">
        <v>308</v>
      </c>
      <c r="D30" s="64" t="s">
        <v>309</v>
      </c>
      <c r="E30" s="64"/>
      <c r="F30" s="66">
        <v>209</v>
      </c>
      <c r="G30" s="67">
        <f t="shared" si="3"/>
        <v>10209000</v>
      </c>
      <c r="H30" s="278" t="s">
        <v>308</v>
      </c>
      <c r="I30" s="66" t="s">
        <v>232</v>
      </c>
      <c r="J30" s="66" t="s">
        <v>168</v>
      </c>
      <c r="K30" s="66" t="s">
        <v>232</v>
      </c>
      <c r="L30" s="66" t="s">
        <v>245</v>
      </c>
      <c r="M30" s="93">
        <f t="shared" si="4"/>
        <v>2587027.6</v>
      </c>
      <c r="N30" s="93">
        <v>100</v>
      </c>
      <c r="O30" s="77">
        <v>25870276</v>
      </c>
      <c r="P30" s="70">
        <f t="shared" si="5"/>
        <v>0.94699267993893843</v>
      </c>
      <c r="Q30" s="71">
        <f>24491390+7572</f>
        <v>24498962</v>
      </c>
      <c r="R30" s="77" t="s">
        <v>234</v>
      </c>
      <c r="S30" s="77" t="s">
        <v>292</v>
      </c>
      <c r="T30" s="77"/>
      <c r="U30" s="99">
        <v>2587027.6</v>
      </c>
      <c r="V30" s="79">
        <v>35999</v>
      </c>
      <c r="W30" s="78"/>
      <c r="X30" s="79">
        <v>35859</v>
      </c>
      <c r="Y30" s="78">
        <v>107698.9</v>
      </c>
      <c r="Z30" s="78">
        <v>1076989</v>
      </c>
      <c r="AA30" s="78"/>
      <c r="AB30" s="78"/>
      <c r="AC30" s="95"/>
      <c r="AD30" s="80">
        <v>35999</v>
      </c>
      <c r="AE30" s="97"/>
      <c r="AF30" s="32">
        <v>1</v>
      </c>
      <c r="AG30" s="32" t="s">
        <v>234</v>
      </c>
      <c r="AI30" s="100" t="s">
        <v>310</v>
      </c>
    </row>
    <row r="31" spans="2:35">
      <c r="B31" s="63">
        <f t="shared" si="6"/>
        <v>6</v>
      </c>
      <c r="C31" s="64" t="s">
        <v>311</v>
      </c>
      <c r="D31" s="64" t="s">
        <v>312</v>
      </c>
      <c r="E31" s="64"/>
      <c r="F31" s="66">
        <v>458</v>
      </c>
      <c r="G31" s="67">
        <f t="shared" si="3"/>
        <v>10458000</v>
      </c>
      <c r="H31" s="278" t="s">
        <v>311</v>
      </c>
      <c r="I31" s="66" t="s">
        <v>262</v>
      </c>
      <c r="J31" s="66" t="s">
        <v>69</v>
      </c>
      <c r="K31" s="66" t="s">
        <v>262</v>
      </c>
      <c r="L31" s="66" t="s">
        <v>259</v>
      </c>
      <c r="M31" s="93">
        <f t="shared" si="4"/>
        <v>52665.2</v>
      </c>
      <c r="N31" s="93">
        <v>1</v>
      </c>
      <c r="O31" s="94">
        <f>526652*100</f>
        <v>52665200</v>
      </c>
      <c r="P31" s="70">
        <f t="shared" si="5"/>
        <v>0.51000091141778636</v>
      </c>
      <c r="Q31" s="71">
        <f>268593*100</f>
        <v>26859300</v>
      </c>
      <c r="R31" s="94" t="s">
        <v>262</v>
      </c>
      <c r="S31" s="94" t="s">
        <v>292</v>
      </c>
      <c r="T31" s="94" t="s">
        <v>313</v>
      </c>
      <c r="U31" s="78"/>
      <c r="V31" s="78"/>
      <c r="W31" s="78"/>
      <c r="X31" s="78"/>
      <c r="Y31" s="78"/>
      <c r="Z31" s="78"/>
      <c r="AA31" s="78"/>
      <c r="AB31" s="78"/>
      <c r="AC31" s="95"/>
      <c r="AD31" s="96"/>
      <c r="AE31" s="97"/>
      <c r="AF31" s="32"/>
      <c r="AG31" s="92" t="s">
        <v>314</v>
      </c>
    </row>
    <row r="32" spans="2:35">
      <c r="B32" s="63">
        <f t="shared" si="6"/>
        <v>7</v>
      </c>
      <c r="C32" s="64" t="s">
        <v>315</v>
      </c>
      <c r="D32" s="64" t="s">
        <v>316</v>
      </c>
      <c r="E32" s="64"/>
      <c r="F32" s="66">
        <v>32</v>
      </c>
      <c r="G32" s="67">
        <f t="shared" si="3"/>
        <v>10032000</v>
      </c>
      <c r="H32" s="278" t="s">
        <v>315</v>
      </c>
      <c r="I32" s="66" t="s">
        <v>232</v>
      </c>
      <c r="J32" s="66" t="s">
        <v>150</v>
      </c>
      <c r="K32" s="66" t="s">
        <v>232</v>
      </c>
      <c r="L32" s="66" t="s">
        <v>259</v>
      </c>
      <c r="M32" s="93">
        <f t="shared" si="4"/>
        <v>65297.4</v>
      </c>
      <c r="N32" s="93">
        <v>100</v>
      </c>
      <c r="O32" s="94">
        <v>652974</v>
      </c>
      <c r="P32" s="70">
        <f t="shared" si="5"/>
        <v>0.2489256846367543</v>
      </c>
      <c r="Q32" s="71">
        <v>162542</v>
      </c>
      <c r="R32" s="94"/>
      <c r="S32" s="94" t="s">
        <v>292</v>
      </c>
      <c r="T32" s="94" t="s">
        <v>317</v>
      </c>
      <c r="U32" s="101">
        <v>79623.3</v>
      </c>
      <c r="V32" s="79"/>
      <c r="W32" s="78"/>
      <c r="X32" s="102" t="s">
        <v>318</v>
      </c>
      <c r="Y32" s="78">
        <v>14325.9</v>
      </c>
      <c r="Z32" s="78">
        <v>143259</v>
      </c>
      <c r="AA32" s="78"/>
      <c r="AB32" s="78"/>
      <c r="AC32" s="95"/>
      <c r="AD32" s="80">
        <v>36175</v>
      </c>
      <c r="AE32" s="97"/>
      <c r="AF32" s="75"/>
      <c r="AG32" s="32" t="s">
        <v>319</v>
      </c>
    </row>
    <row r="33" spans="2:44">
      <c r="B33" s="63">
        <f t="shared" si="6"/>
        <v>8</v>
      </c>
      <c r="C33" s="64" t="s">
        <v>320</v>
      </c>
      <c r="D33" s="64" t="s">
        <v>321</v>
      </c>
      <c r="E33" s="64"/>
      <c r="F33" s="66">
        <v>376</v>
      </c>
      <c r="G33" s="67">
        <f t="shared" si="3"/>
        <v>10376000</v>
      </c>
      <c r="H33" s="278" t="s">
        <v>320</v>
      </c>
      <c r="I33" s="66" t="s">
        <v>232</v>
      </c>
      <c r="J33" s="66" t="s">
        <v>322</v>
      </c>
      <c r="K33" s="66" t="s">
        <v>232</v>
      </c>
      <c r="L33" s="66" t="s">
        <v>245</v>
      </c>
      <c r="M33" s="93">
        <f t="shared" si="4"/>
        <v>86825.2</v>
      </c>
      <c r="N33" s="93">
        <v>100</v>
      </c>
      <c r="O33" s="94">
        <v>868252</v>
      </c>
      <c r="P33" s="70">
        <f t="shared" si="5"/>
        <v>0.34000036855659416</v>
      </c>
      <c r="Q33" s="71">
        <v>295206</v>
      </c>
      <c r="R33" s="94"/>
      <c r="S33" s="94" t="s">
        <v>323</v>
      </c>
      <c r="T33" s="94" t="s">
        <v>324</v>
      </c>
      <c r="U33" s="78"/>
      <c r="V33" s="78"/>
      <c r="W33" s="78"/>
      <c r="X33" s="78"/>
      <c r="Y33" s="78"/>
      <c r="Z33" s="78"/>
      <c r="AA33" s="78"/>
      <c r="AB33" s="78"/>
      <c r="AC33" s="95"/>
      <c r="AD33" s="96"/>
      <c r="AE33" s="97"/>
      <c r="AF33" s="92"/>
      <c r="AG33" s="92" t="s">
        <v>325</v>
      </c>
    </row>
    <row r="34" spans="2:44">
      <c r="B34" s="63">
        <f t="shared" si="6"/>
        <v>9</v>
      </c>
      <c r="C34" s="64" t="s">
        <v>326</v>
      </c>
      <c r="D34" s="64" t="s">
        <v>327</v>
      </c>
      <c r="E34" s="64"/>
      <c r="F34" s="63">
        <v>460</v>
      </c>
      <c r="G34" s="67">
        <f t="shared" si="3"/>
        <v>10460000</v>
      </c>
      <c r="H34" s="278" t="s">
        <v>326</v>
      </c>
      <c r="I34" s="63" t="s">
        <v>328</v>
      </c>
      <c r="J34" s="63" t="s">
        <v>70</v>
      </c>
      <c r="K34" s="63" t="s">
        <v>328</v>
      </c>
      <c r="L34" s="63" t="s">
        <v>259</v>
      </c>
      <c r="M34" s="93">
        <f t="shared" si="4"/>
        <v>1341910.1000000001</v>
      </c>
      <c r="N34" s="93">
        <v>100</v>
      </c>
      <c r="O34" s="103">
        <v>13419101</v>
      </c>
      <c r="P34" s="104">
        <f t="shared" si="5"/>
        <v>0.90000000745206399</v>
      </c>
      <c r="Q34" s="71">
        <v>12077191</v>
      </c>
      <c r="R34" s="94"/>
      <c r="S34" s="94" t="s">
        <v>292</v>
      </c>
      <c r="T34" s="94" t="s">
        <v>329</v>
      </c>
      <c r="U34" s="78"/>
      <c r="V34" s="78"/>
      <c r="W34" s="78"/>
      <c r="X34" s="78"/>
      <c r="Y34" s="78"/>
      <c r="Z34" s="78"/>
      <c r="AA34" s="78"/>
      <c r="AB34" s="78"/>
      <c r="AC34" s="95"/>
      <c r="AD34" s="96"/>
      <c r="AE34" s="97"/>
      <c r="AF34" s="92"/>
      <c r="AG34" s="32"/>
    </row>
    <row r="35" spans="2:44">
      <c r="B35" s="63">
        <f t="shared" si="6"/>
        <v>10</v>
      </c>
      <c r="C35" s="64" t="s">
        <v>330</v>
      </c>
      <c r="D35" s="64"/>
      <c r="E35" s="64"/>
      <c r="F35" s="63">
        <v>541</v>
      </c>
      <c r="G35" s="67">
        <f t="shared" si="3"/>
        <v>10541000</v>
      </c>
      <c r="H35" s="278" t="s">
        <v>330</v>
      </c>
      <c r="I35" s="63" t="s">
        <v>232</v>
      </c>
      <c r="J35" s="63" t="s">
        <v>94</v>
      </c>
      <c r="K35" s="63" t="s">
        <v>232</v>
      </c>
      <c r="L35" s="63" t="s">
        <v>245</v>
      </c>
      <c r="M35" s="93">
        <f t="shared" si="4"/>
        <v>9958636.3000000007</v>
      </c>
      <c r="N35" s="93">
        <v>100</v>
      </c>
      <c r="O35" s="103">
        <v>99586363</v>
      </c>
      <c r="P35" s="104">
        <v>0.66</v>
      </c>
      <c r="Q35" s="71">
        <v>65727000</v>
      </c>
      <c r="R35" s="94"/>
      <c r="S35" s="94"/>
      <c r="T35" s="105">
        <v>42353</v>
      </c>
      <c r="U35" s="78"/>
      <c r="V35" s="78"/>
      <c r="W35" s="78"/>
      <c r="X35" s="78"/>
      <c r="Y35" s="78"/>
      <c r="Z35" s="78">
        <v>33859363</v>
      </c>
      <c r="AA35" s="78"/>
      <c r="AB35" s="78"/>
      <c r="AC35" s="78"/>
      <c r="AD35" s="80">
        <v>42360</v>
      </c>
      <c r="AE35" s="97"/>
      <c r="AF35" s="92"/>
      <c r="AG35" s="32"/>
    </row>
    <row r="36" spans="2:44">
      <c r="B36" s="113">
        <v>1</v>
      </c>
      <c r="C36" s="64" t="s">
        <v>331</v>
      </c>
      <c r="D36" s="64" t="s">
        <v>332</v>
      </c>
      <c r="E36" s="64"/>
      <c r="F36" s="66">
        <v>369</v>
      </c>
      <c r="G36" s="67">
        <f t="shared" ref="G36:G98" si="7">10000000+F36*1000</f>
        <v>10369000</v>
      </c>
      <c r="H36" s="278" t="s">
        <v>331</v>
      </c>
      <c r="I36" s="66" t="s">
        <v>333</v>
      </c>
      <c r="J36" s="66" t="s">
        <v>118</v>
      </c>
      <c r="K36" s="66" t="s">
        <v>333</v>
      </c>
      <c r="L36" s="66" t="s">
        <v>233</v>
      </c>
      <c r="M36" s="93">
        <f t="shared" ref="M36:M43" si="8">O36*N36/1000</f>
        <v>13910.5</v>
      </c>
      <c r="N36" s="93">
        <v>100</v>
      </c>
      <c r="O36" s="94">
        <v>139105</v>
      </c>
      <c r="P36" s="70"/>
      <c r="Q36" s="71"/>
      <c r="R36" s="94" t="s">
        <v>234</v>
      </c>
      <c r="S36" s="94" t="s">
        <v>334</v>
      </c>
      <c r="T36" s="94" t="s">
        <v>335</v>
      </c>
      <c r="U36" s="78"/>
      <c r="V36" s="78"/>
      <c r="W36" s="78"/>
      <c r="X36" s="78"/>
      <c r="Y36" s="78"/>
      <c r="Z36" s="78"/>
      <c r="AA36" s="78"/>
      <c r="AB36" s="78"/>
      <c r="AC36" s="95"/>
      <c r="AD36" s="96"/>
      <c r="AE36" s="92"/>
      <c r="AF36" s="92"/>
      <c r="AG36" s="32" t="s">
        <v>336</v>
      </c>
      <c r="AK36" s="24" t="s">
        <v>337</v>
      </c>
      <c r="AP36" s="24" t="s">
        <v>338</v>
      </c>
      <c r="AR36" s="24" t="s">
        <v>339</v>
      </c>
    </row>
    <row r="37" spans="2:44">
      <c r="B37" s="113">
        <f t="shared" ref="B37:B100" si="9">B36+1</f>
        <v>2</v>
      </c>
      <c r="C37" s="64" t="s">
        <v>340</v>
      </c>
      <c r="D37" s="64" t="s">
        <v>341</v>
      </c>
      <c r="E37" s="64"/>
      <c r="F37" s="66">
        <v>423</v>
      </c>
      <c r="G37" s="67">
        <f t="shared" si="7"/>
        <v>10423000</v>
      </c>
      <c r="H37" s="278" t="s">
        <v>340</v>
      </c>
      <c r="I37" s="66" t="s">
        <v>232</v>
      </c>
      <c r="J37" s="66" t="s">
        <v>111</v>
      </c>
      <c r="K37" s="66" t="s">
        <v>232</v>
      </c>
      <c r="L37" s="66" t="s">
        <v>245</v>
      </c>
      <c r="M37" s="93">
        <f t="shared" si="8"/>
        <v>151357.20000000001</v>
      </c>
      <c r="N37" s="93">
        <v>100</v>
      </c>
      <c r="O37" s="94">
        <v>1513572</v>
      </c>
      <c r="P37" s="114"/>
      <c r="Q37" s="71"/>
      <c r="R37" s="94"/>
      <c r="S37" s="94" t="s">
        <v>292</v>
      </c>
      <c r="T37" s="94" t="s">
        <v>342</v>
      </c>
      <c r="U37" s="78"/>
      <c r="V37" s="78"/>
      <c r="W37" s="78"/>
      <c r="X37" s="78"/>
      <c r="Y37" s="78"/>
      <c r="Z37" s="78"/>
      <c r="AA37" s="78"/>
      <c r="AB37" s="78"/>
      <c r="AC37" s="78"/>
      <c r="AD37" s="96"/>
      <c r="AE37" s="92"/>
      <c r="AF37" s="92"/>
      <c r="AG37" s="32"/>
    </row>
    <row r="38" spans="2:44">
      <c r="B38" s="113">
        <f t="shared" si="9"/>
        <v>3</v>
      </c>
      <c r="C38" s="64" t="s">
        <v>343</v>
      </c>
      <c r="D38" s="64" t="s">
        <v>344</v>
      </c>
      <c r="E38" s="64"/>
      <c r="F38" s="66">
        <v>461</v>
      </c>
      <c r="G38" s="67">
        <f t="shared" si="7"/>
        <v>10461000</v>
      </c>
      <c r="H38" s="278" t="s">
        <v>343</v>
      </c>
      <c r="I38" s="66" t="s">
        <v>345</v>
      </c>
      <c r="J38" s="66" t="s">
        <v>71</v>
      </c>
      <c r="K38" s="66" t="s">
        <v>345</v>
      </c>
      <c r="L38" s="66" t="s">
        <v>259</v>
      </c>
      <c r="M38" s="93">
        <f t="shared" si="8"/>
        <v>315130.40000000002</v>
      </c>
      <c r="N38" s="93">
        <v>100</v>
      </c>
      <c r="O38" s="94">
        <v>3151304</v>
      </c>
      <c r="P38" s="114"/>
      <c r="Q38" s="71"/>
      <c r="R38" s="94"/>
      <c r="S38" s="94" t="s">
        <v>346</v>
      </c>
      <c r="T38" s="94" t="s">
        <v>329</v>
      </c>
      <c r="U38" s="78"/>
      <c r="V38" s="78"/>
      <c r="W38" s="78"/>
      <c r="X38" s="78"/>
      <c r="Y38" s="78"/>
      <c r="Z38" s="78"/>
      <c r="AA38" s="78"/>
      <c r="AB38" s="78"/>
      <c r="AC38" s="78"/>
      <c r="AD38" s="96"/>
      <c r="AE38" s="92"/>
      <c r="AF38" s="92"/>
      <c r="AG38" s="32"/>
    </row>
    <row r="39" spans="2:44">
      <c r="B39" s="113">
        <f t="shared" si="9"/>
        <v>4</v>
      </c>
      <c r="C39" s="64" t="s">
        <v>347</v>
      </c>
      <c r="D39" s="64" t="s">
        <v>348</v>
      </c>
      <c r="E39" s="64"/>
      <c r="F39" s="66">
        <v>187</v>
      </c>
      <c r="G39" s="67">
        <f t="shared" si="7"/>
        <v>10187000</v>
      </c>
      <c r="H39" s="278" t="s">
        <v>347</v>
      </c>
      <c r="I39" s="66" t="s">
        <v>349</v>
      </c>
      <c r="J39" s="66" t="s">
        <v>119</v>
      </c>
      <c r="K39" s="66" t="s">
        <v>349</v>
      </c>
      <c r="L39" s="66" t="s">
        <v>350</v>
      </c>
      <c r="M39" s="93">
        <f t="shared" si="8"/>
        <v>12492.4</v>
      </c>
      <c r="N39" s="93">
        <v>100</v>
      </c>
      <c r="O39" s="94">
        <v>124924</v>
      </c>
      <c r="P39" s="115"/>
      <c r="Q39" s="71"/>
      <c r="R39" s="94"/>
      <c r="S39" s="94" t="s">
        <v>351</v>
      </c>
      <c r="T39" s="94"/>
      <c r="U39" s="78"/>
      <c r="V39" s="78"/>
      <c r="W39" s="78"/>
      <c r="X39" s="78"/>
      <c r="Y39" s="78"/>
      <c r="Z39" s="78"/>
      <c r="AA39" s="78"/>
      <c r="AB39" s="78"/>
      <c r="AC39" s="95"/>
      <c r="AD39" s="96"/>
      <c r="AE39" s="92"/>
      <c r="AF39" s="92" t="s">
        <v>352</v>
      </c>
      <c r="AG39" s="32"/>
    </row>
    <row r="40" spans="2:44">
      <c r="B40" s="113">
        <f t="shared" si="9"/>
        <v>5</v>
      </c>
      <c r="C40" s="64" t="s">
        <v>353</v>
      </c>
      <c r="D40" s="64" t="s">
        <v>354</v>
      </c>
      <c r="E40" s="64"/>
      <c r="F40" s="66">
        <v>119</v>
      </c>
      <c r="G40" s="67">
        <f t="shared" si="7"/>
        <v>10119000</v>
      </c>
      <c r="H40" s="278" t="s">
        <v>353</v>
      </c>
      <c r="I40" s="66" t="s">
        <v>355</v>
      </c>
      <c r="J40" s="66" t="s">
        <v>112</v>
      </c>
      <c r="K40" s="66" t="s">
        <v>355</v>
      </c>
      <c r="L40" s="66" t="s">
        <v>259</v>
      </c>
      <c r="M40" s="93">
        <f t="shared" si="8"/>
        <v>10330.799999999999</v>
      </c>
      <c r="N40" s="93">
        <v>100</v>
      </c>
      <c r="O40" s="94">
        <v>103308</v>
      </c>
      <c r="P40" s="116"/>
      <c r="Q40" s="71"/>
      <c r="R40" s="66"/>
      <c r="S40" s="66" t="s">
        <v>292</v>
      </c>
      <c r="T40" s="117" t="s">
        <v>356</v>
      </c>
      <c r="U40" s="78"/>
      <c r="V40" s="78"/>
      <c r="W40" s="78"/>
      <c r="X40" s="78"/>
      <c r="Y40" s="78"/>
      <c r="Z40" s="78"/>
      <c r="AA40" s="78"/>
      <c r="AB40" s="78"/>
      <c r="AC40" s="78"/>
      <c r="AD40" s="96"/>
      <c r="AE40" s="92"/>
      <c r="AF40" s="92"/>
      <c r="AG40" s="32"/>
    </row>
    <row r="41" spans="2:44">
      <c r="B41" s="113">
        <f t="shared" si="9"/>
        <v>6</v>
      </c>
      <c r="C41" s="64" t="s">
        <v>357</v>
      </c>
      <c r="D41" s="64" t="s">
        <v>358</v>
      </c>
      <c r="E41" s="64"/>
      <c r="F41" s="66">
        <v>227</v>
      </c>
      <c r="G41" s="67">
        <f t="shared" si="7"/>
        <v>10227000</v>
      </c>
      <c r="H41" s="278" t="s">
        <v>357</v>
      </c>
      <c r="I41" s="66" t="s">
        <v>355</v>
      </c>
      <c r="J41" s="66" t="s">
        <v>43</v>
      </c>
      <c r="K41" s="66" t="s">
        <v>355</v>
      </c>
      <c r="L41" s="66" t="s">
        <v>233</v>
      </c>
      <c r="M41" s="93">
        <f t="shared" si="8"/>
        <v>5415.3</v>
      </c>
      <c r="N41" s="93">
        <v>100</v>
      </c>
      <c r="O41" s="94">
        <v>54153</v>
      </c>
      <c r="P41" s="70"/>
      <c r="Q41" s="71"/>
      <c r="R41" s="94" t="s">
        <v>234</v>
      </c>
      <c r="S41" s="94" t="s">
        <v>359</v>
      </c>
      <c r="T41" s="94" t="s">
        <v>360</v>
      </c>
      <c r="U41" s="78"/>
      <c r="V41" s="78"/>
      <c r="W41" s="78"/>
      <c r="X41" s="78"/>
      <c r="Y41" s="78"/>
      <c r="Z41" s="78"/>
      <c r="AA41" s="78"/>
      <c r="AB41" s="78"/>
      <c r="AC41" s="95"/>
      <c r="AD41" s="96"/>
      <c r="AE41" s="92"/>
      <c r="AF41" s="92"/>
      <c r="AG41" s="32" t="s">
        <v>361</v>
      </c>
    </row>
    <row r="42" spans="2:44">
      <c r="B42" s="113">
        <f t="shared" si="9"/>
        <v>7</v>
      </c>
      <c r="C42" s="64" t="s">
        <v>362</v>
      </c>
      <c r="D42" s="64" t="s">
        <v>363</v>
      </c>
      <c r="E42" s="64" t="s">
        <v>364</v>
      </c>
      <c r="F42" s="66">
        <v>529</v>
      </c>
      <c r="G42" s="67">
        <f t="shared" si="7"/>
        <v>10529000</v>
      </c>
      <c r="H42" s="278" t="s">
        <v>362</v>
      </c>
      <c r="I42" s="66" t="s">
        <v>232</v>
      </c>
      <c r="J42" s="66" t="s">
        <v>365</v>
      </c>
      <c r="K42" s="66" t="s">
        <v>232</v>
      </c>
      <c r="L42" s="66" t="s">
        <v>245</v>
      </c>
      <c r="M42" s="93">
        <f t="shared" si="8"/>
        <v>38721622</v>
      </c>
      <c r="N42" s="93">
        <v>1000</v>
      </c>
      <c r="O42" s="94">
        <f>39418531-696909</f>
        <v>38721622</v>
      </c>
      <c r="P42" s="116"/>
      <c r="Q42" s="71"/>
      <c r="R42" s="94"/>
      <c r="S42" s="94" t="s">
        <v>366</v>
      </c>
      <c r="T42" s="94" t="s">
        <v>367</v>
      </c>
      <c r="U42" s="78"/>
      <c r="V42" s="78"/>
      <c r="W42" s="78"/>
      <c r="X42" s="78"/>
      <c r="Y42" s="78"/>
      <c r="Z42" s="78"/>
      <c r="AA42" s="78"/>
      <c r="AB42" s="79"/>
      <c r="AC42" s="78"/>
      <c r="AD42" s="80"/>
      <c r="AE42" s="75"/>
      <c r="AF42" s="75"/>
      <c r="AG42" s="32"/>
    </row>
    <row r="43" spans="2:44">
      <c r="B43" s="113">
        <f t="shared" si="9"/>
        <v>8</v>
      </c>
      <c r="C43" s="64" t="s">
        <v>368</v>
      </c>
      <c r="D43" s="64" t="s">
        <v>369</v>
      </c>
      <c r="E43" s="64"/>
      <c r="F43" s="66">
        <v>90</v>
      </c>
      <c r="G43" s="67">
        <f t="shared" si="7"/>
        <v>10090000</v>
      </c>
      <c r="H43" s="278" t="s">
        <v>368</v>
      </c>
      <c r="I43" s="66" t="s">
        <v>232</v>
      </c>
      <c r="J43" s="66" t="s">
        <v>109</v>
      </c>
      <c r="K43" s="66" t="s">
        <v>232</v>
      </c>
      <c r="L43" s="66" t="s">
        <v>350</v>
      </c>
      <c r="M43" s="93">
        <f t="shared" si="8"/>
        <v>106418.15530000001</v>
      </c>
      <c r="N43" s="93">
        <v>0.1</v>
      </c>
      <c r="O43" s="94">
        <f>74287700*10+321304553</f>
        <v>1064181553</v>
      </c>
      <c r="P43" s="70"/>
      <c r="Q43" s="71"/>
      <c r="R43" s="94" t="s">
        <v>234</v>
      </c>
      <c r="S43" s="94" t="s">
        <v>292</v>
      </c>
      <c r="T43" s="94" t="s">
        <v>370</v>
      </c>
      <c r="U43" s="78"/>
      <c r="V43" s="78"/>
      <c r="W43" s="78"/>
      <c r="X43" s="78"/>
      <c r="Y43" s="78"/>
      <c r="Z43" s="78"/>
      <c r="AA43" s="78"/>
      <c r="AB43" s="78"/>
      <c r="AC43" s="95"/>
      <c r="AD43" s="96"/>
      <c r="AE43" s="92"/>
      <c r="AF43" s="92"/>
      <c r="AG43" s="32"/>
    </row>
    <row r="44" spans="2:44">
      <c r="B44" s="113">
        <f t="shared" si="9"/>
        <v>9</v>
      </c>
      <c r="C44" s="64" t="s">
        <v>371</v>
      </c>
      <c r="E44" s="64" t="s">
        <v>372</v>
      </c>
      <c r="F44" s="66">
        <v>548</v>
      </c>
      <c r="G44" s="67">
        <f t="shared" si="7"/>
        <v>10548000</v>
      </c>
      <c r="H44" s="278" t="s">
        <v>371</v>
      </c>
      <c r="I44" s="66" t="s">
        <v>232</v>
      </c>
      <c r="J44" s="66" t="s">
        <v>100</v>
      </c>
      <c r="K44" s="66" t="s">
        <v>232</v>
      </c>
      <c r="L44" s="66" t="s">
        <v>245</v>
      </c>
      <c r="M44" s="93">
        <f>N44*O44</f>
        <v>5000000000</v>
      </c>
      <c r="N44" s="93">
        <v>200</v>
      </c>
      <c r="O44" s="94">
        <v>25000000</v>
      </c>
      <c r="P44" s="70"/>
      <c r="Q44" s="71"/>
      <c r="R44" s="94"/>
      <c r="S44" s="94"/>
      <c r="T44" s="94" t="s">
        <v>373</v>
      </c>
      <c r="U44" s="78"/>
      <c r="V44" s="78"/>
      <c r="W44" s="78"/>
      <c r="X44" s="78"/>
      <c r="Y44" s="78"/>
      <c r="Z44" s="78"/>
      <c r="AA44" s="78"/>
      <c r="AB44" s="78"/>
      <c r="AC44" s="95"/>
      <c r="AD44" s="96"/>
      <c r="AE44" s="92"/>
      <c r="AF44" s="92"/>
      <c r="AG44" s="32"/>
    </row>
    <row r="45" spans="2:44">
      <c r="B45" s="113">
        <f t="shared" si="9"/>
        <v>10</v>
      </c>
      <c r="C45" s="64" t="s">
        <v>374</v>
      </c>
      <c r="D45" s="64" t="s">
        <v>375</v>
      </c>
      <c r="E45" s="64"/>
      <c r="F45" s="66">
        <v>394</v>
      </c>
      <c r="G45" s="67">
        <f t="shared" si="7"/>
        <v>10394000</v>
      </c>
      <c r="H45" s="278" t="s">
        <v>374</v>
      </c>
      <c r="I45" s="66" t="s">
        <v>333</v>
      </c>
      <c r="J45" s="66" t="s">
        <v>113</v>
      </c>
      <c r="K45" s="66" t="s">
        <v>333</v>
      </c>
      <c r="L45" s="66" t="s">
        <v>245</v>
      </c>
      <c r="M45" s="93">
        <f t="shared" ref="M45:M98" si="10">O45*N45/1000</f>
        <v>8004</v>
      </c>
      <c r="N45" s="93">
        <v>100</v>
      </c>
      <c r="O45" s="94">
        <v>80040</v>
      </c>
      <c r="P45" s="116"/>
      <c r="Q45" s="71"/>
      <c r="R45" s="94"/>
      <c r="S45" s="94" t="s">
        <v>334</v>
      </c>
      <c r="T45" s="94" t="s">
        <v>376</v>
      </c>
      <c r="U45" s="78"/>
      <c r="V45" s="78"/>
      <c r="W45" s="78"/>
      <c r="X45" s="78"/>
      <c r="Y45" s="78"/>
      <c r="Z45" s="78"/>
      <c r="AA45" s="78">
        <v>40820</v>
      </c>
      <c r="AB45" s="79">
        <v>35783</v>
      </c>
      <c r="AC45" s="78">
        <v>816</v>
      </c>
      <c r="AD45" s="80">
        <v>35828</v>
      </c>
      <c r="AE45" s="75"/>
      <c r="AF45" s="75"/>
      <c r="AG45" s="32"/>
    </row>
    <row r="46" spans="2:44">
      <c r="B46" s="113">
        <f t="shared" si="9"/>
        <v>11</v>
      </c>
      <c r="C46" s="64" t="s">
        <v>377</v>
      </c>
      <c r="D46" s="64" t="s">
        <v>378</v>
      </c>
      <c r="E46" s="64"/>
      <c r="F46" s="63">
        <v>231</v>
      </c>
      <c r="G46" s="67">
        <f t="shared" si="7"/>
        <v>10231000</v>
      </c>
      <c r="H46" s="278" t="s">
        <v>377</v>
      </c>
      <c r="I46" s="63" t="s">
        <v>232</v>
      </c>
      <c r="J46" s="63" t="s">
        <v>379</v>
      </c>
      <c r="K46" s="63" t="s">
        <v>232</v>
      </c>
      <c r="L46" s="63" t="s">
        <v>380</v>
      </c>
      <c r="M46" s="93">
        <f t="shared" si="10"/>
        <v>5638.1</v>
      </c>
      <c r="N46" s="93">
        <v>100</v>
      </c>
      <c r="O46" s="103">
        <v>56381</v>
      </c>
      <c r="P46" s="116"/>
      <c r="Q46" s="71"/>
      <c r="R46" s="94"/>
      <c r="S46" s="94" t="s">
        <v>323</v>
      </c>
      <c r="T46" s="94" t="s">
        <v>381</v>
      </c>
      <c r="U46" s="78"/>
      <c r="V46" s="78"/>
      <c r="W46" s="78"/>
      <c r="X46" s="78"/>
      <c r="Y46" s="78"/>
      <c r="Z46" s="78"/>
      <c r="AA46" s="78">
        <v>11276</v>
      </c>
      <c r="AB46" s="79">
        <v>35727</v>
      </c>
      <c r="AC46" s="78">
        <v>616</v>
      </c>
      <c r="AD46" s="80">
        <v>35818</v>
      </c>
      <c r="AE46" s="75"/>
      <c r="AF46" s="75"/>
      <c r="AG46" s="75"/>
    </row>
    <row r="47" spans="2:44">
      <c r="B47" s="113">
        <f t="shared" si="9"/>
        <v>12</v>
      </c>
      <c r="C47" s="64" t="s">
        <v>382</v>
      </c>
      <c r="D47" s="118"/>
      <c r="E47" s="118" t="s">
        <v>383</v>
      </c>
      <c r="F47" s="119">
        <v>550</v>
      </c>
      <c r="G47" s="67">
        <f t="shared" si="7"/>
        <v>10550000</v>
      </c>
      <c r="H47" s="278" t="s">
        <v>382</v>
      </c>
      <c r="I47" s="63" t="s">
        <v>232</v>
      </c>
      <c r="J47" s="119" t="s">
        <v>114</v>
      </c>
      <c r="K47" s="63" t="s">
        <v>232</v>
      </c>
      <c r="L47" s="119"/>
      <c r="M47" s="93">
        <f t="shared" si="10"/>
        <v>2800000</v>
      </c>
      <c r="N47" s="93">
        <v>10</v>
      </c>
      <c r="O47" s="120">
        <v>280000000</v>
      </c>
      <c r="P47" s="121"/>
      <c r="Q47" s="122"/>
      <c r="R47" s="123"/>
      <c r="S47" s="123"/>
      <c r="T47" s="123"/>
      <c r="U47" s="124"/>
      <c r="V47" s="124"/>
      <c r="W47" s="124"/>
      <c r="X47" s="124"/>
      <c r="Y47" s="124"/>
      <c r="Z47" s="124"/>
      <c r="AA47" s="124"/>
      <c r="AB47" s="125"/>
      <c r="AC47" s="124"/>
      <c r="AD47" s="80"/>
      <c r="AE47" s="75"/>
      <c r="AF47" s="75"/>
      <c r="AG47" s="75"/>
    </row>
    <row r="48" spans="2:44">
      <c r="B48" s="113">
        <f t="shared" si="9"/>
        <v>13</v>
      </c>
      <c r="C48" s="64" t="s">
        <v>384</v>
      </c>
      <c r="D48" s="118" t="s">
        <v>385</v>
      </c>
      <c r="E48" s="118"/>
      <c r="F48" s="126">
        <v>191</v>
      </c>
      <c r="G48" s="67">
        <f t="shared" si="7"/>
        <v>10191000</v>
      </c>
      <c r="H48" s="278" t="s">
        <v>384</v>
      </c>
      <c r="I48" s="66" t="s">
        <v>232</v>
      </c>
      <c r="J48" s="126" t="s">
        <v>115</v>
      </c>
      <c r="K48" s="66" t="s">
        <v>232</v>
      </c>
      <c r="L48" s="126" t="s">
        <v>350</v>
      </c>
      <c r="M48" s="93">
        <f t="shared" si="10"/>
        <v>347932</v>
      </c>
      <c r="N48" s="93">
        <v>100</v>
      </c>
      <c r="O48" s="123">
        <v>3479320</v>
      </c>
      <c r="P48" s="121"/>
      <c r="Q48" s="122"/>
      <c r="R48" s="126"/>
      <c r="S48" s="126" t="s">
        <v>292</v>
      </c>
      <c r="T48" s="126" t="s">
        <v>386</v>
      </c>
      <c r="U48" s="124"/>
      <c r="V48" s="125">
        <v>35438</v>
      </c>
      <c r="W48" s="124">
        <v>2400000</v>
      </c>
      <c r="X48" s="124"/>
      <c r="Y48" s="124"/>
      <c r="Z48" s="124"/>
      <c r="AA48" s="124"/>
      <c r="AB48" s="124"/>
      <c r="AC48" s="124"/>
      <c r="AD48" s="96"/>
      <c r="AE48" s="92"/>
      <c r="AF48" s="92"/>
      <c r="AG48" s="32"/>
    </row>
    <row r="49" spans="2:42">
      <c r="B49" s="113">
        <f t="shared" si="9"/>
        <v>14</v>
      </c>
      <c r="C49" s="64" t="s">
        <v>387</v>
      </c>
      <c r="D49" s="64" t="s">
        <v>388</v>
      </c>
      <c r="E49" s="64"/>
      <c r="F49" s="66">
        <v>33</v>
      </c>
      <c r="G49" s="67">
        <f t="shared" si="7"/>
        <v>10033000</v>
      </c>
      <c r="H49" s="278" t="s">
        <v>387</v>
      </c>
      <c r="I49" s="66" t="s">
        <v>232</v>
      </c>
      <c r="J49" s="66" t="s">
        <v>389</v>
      </c>
      <c r="K49" s="66" t="s">
        <v>232</v>
      </c>
      <c r="L49" s="66" t="s">
        <v>233</v>
      </c>
      <c r="M49" s="93">
        <f t="shared" si="10"/>
        <v>6345.6</v>
      </c>
      <c r="N49" s="93">
        <v>100</v>
      </c>
      <c r="O49" s="94">
        <v>63456</v>
      </c>
      <c r="P49" s="114"/>
      <c r="Q49" s="71"/>
      <c r="R49" s="94"/>
      <c r="S49" s="94" t="s">
        <v>323</v>
      </c>
      <c r="T49" s="94" t="s">
        <v>390</v>
      </c>
      <c r="U49" s="78"/>
      <c r="V49" s="78"/>
      <c r="W49" s="78"/>
      <c r="X49" s="78"/>
      <c r="Y49" s="78"/>
      <c r="Z49" s="78"/>
      <c r="AA49" s="78"/>
      <c r="AB49" s="78"/>
      <c r="AC49" s="78"/>
      <c r="AD49" s="96"/>
      <c r="AE49" s="92"/>
      <c r="AF49" s="92"/>
      <c r="AG49" s="32"/>
      <c r="AH49" s="24" t="s">
        <v>391</v>
      </c>
    </row>
    <row r="50" spans="2:42">
      <c r="B50" s="113">
        <f t="shared" si="9"/>
        <v>15</v>
      </c>
      <c r="C50" s="64" t="s">
        <v>392</v>
      </c>
      <c r="D50" s="64" t="s">
        <v>393</v>
      </c>
      <c r="E50" s="64"/>
      <c r="F50" s="66">
        <v>17</v>
      </c>
      <c r="G50" s="67">
        <f t="shared" si="7"/>
        <v>10017000</v>
      </c>
      <c r="H50" s="278" t="s">
        <v>392</v>
      </c>
      <c r="I50" s="66" t="s">
        <v>232</v>
      </c>
      <c r="J50" s="66" t="s">
        <v>35</v>
      </c>
      <c r="K50" s="66" t="s">
        <v>232</v>
      </c>
      <c r="L50" s="66" t="s">
        <v>350</v>
      </c>
      <c r="M50" s="93">
        <f t="shared" si="10"/>
        <v>3134448</v>
      </c>
      <c r="N50" s="93">
        <v>18000</v>
      </c>
      <c r="O50" s="94">
        <v>174136</v>
      </c>
      <c r="P50" s="116"/>
      <c r="Q50" s="71"/>
      <c r="R50" s="94"/>
      <c r="S50" s="94" t="s">
        <v>323</v>
      </c>
      <c r="T50" s="94" t="s">
        <v>394</v>
      </c>
      <c r="U50" s="78">
        <v>220978.6</v>
      </c>
      <c r="V50" s="78"/>
      <c r="W50" s="78"/>
      <c r="X50" s="78"/>
      <c r="Y50" s="78"/>
      <c r="Z50" s="78"/>
      <c r="AA50" s="78">
        <v>69654</v>
      </c>
      <c r="AB50" s="79">
        <v>35703</v>
      </c>
      <c r="AC50" s="78">
        <v>492</v>
      </c>
      <c r="AD50" s="80">
        <v>35818</v>
      </c>
      <c r="AE50" s="75"/>
      <c r="AF50" s="75"/>
      <c r="AG50" s="32"/>
    </row>
    <row r="51" spans="2:42">
      <c r="B51" s="113">
        <f t="shared" si="9"/>
        <v>16</v>
      </c>
      <c r="C51" s="64" t="s">
        <v>395</v>
      </c>
      <c r="D51" s="64" t="s">
        <v>396</v>
      </c>
      <c r="E51" s="64"/>
      <c r="F51" s="66">
        <v>200</v>
      </c>
      <c r="G51" s="67">
        <f t="shared" si="7"/>
        <v>10200000</v>
      </c>
      <c r="H51" s="278" t="s">
        <v>395</v>
      </c>
      <c r="I51" s="66" t="s">
        <v>349</v>
      </c>
      <c r="J51" s="66" t="s">
        <v>39</v>
      </c>
      <c r="K51" s="66" t="s">
        <v>349</v>
      </c>
      <c r="L51" s="66" t="s">
        <v>380</v>
      </c>
      <c r="M51" s="93">
        <f t="shared" si="10"/>
        <v>7412.7</v>
      </c>
      <c r="N51" s="93">
        <v>100</v>
      </c>
      <c r="O51" s="94">
        <v>74127</v>
      </c>
      <c r="P51" s="116"/>
      <c r="Q51" s="71"/>
      <c r="R51" s="66"/>
      <c r="S51" s="66" t="s">
        <v>351</v>
      </c>
      <c r="T51" s="66"/>
      <c r="U51" s="78">
        <v>52000</v>
      </c>
      <c r="V51" s="78"/>
      <c r="W51" s="78"/>
      <c r="X51" s="78"/>
      <c r="Y51" s="78"/>
      <c r="Z51" s="78"/>
      <c r="AA51" s="78"/>
      <c r="AB51" s="78"/>
      <c r="AC51" s="78"/>
      <c r="AD51" s="96"/>
      <c r="AE51" s="92"/>
      <c r="AF51" s="92"/>
      <c r="AG51" s="32"/>
    </row>
    <row r="52" spans="2:42">
      <c r="B52" s="113">
        <f t="shared" si="9"/>
        <v>17</v>
      </c>
      <c r="C52" s="64" t="s">
        <v>397</v>
      </c>
      <c r="D52" s="64" t="s">
        <v>398</v>
      </c>
      <c r="E52" s="64"/>
      <c r="F52" s="66">
        <v>543</v>
      </c>
      <c r="G52" s="67">
        <f t="shared" si="7"/>
        <v>10543000</v>
      </c>
      <c r="H52" s="278" t="s">
        <v>397</v>
      </c>
      <c r="I52" s="66"/>
      <c r="J52" s="66" t="s">
        <v>96</v>
      </c>
      <c r="K52" s="66"/>
      <c r="L52" s="66"/>
      <c r="M52" s="93">
        <f t="shared" si="10"/>
        <v>1481441.3319999999</v>
      </c>
      <c r="N52" s="93">
        <v>43</v>
      </c>
      <c r="O52" s="94">
        <v>34452124</v>
      </c>
      <c r="P52" s="116"/>
      <c r="Q52" s="71"/>
      <c r="R52" s="66"/>
      <c r="S52" s="66"/>
      <c r="T52" s="66"/>
      <c r="U52" s="78"/>
      <c r="V52" s="78"/>
      <c r="W52" s="78"/>
      <c r="X52" s="78"/>
      <c r="Y52" s="78"/>
      <c r="Z52" s="78"/>
      <c r="AA52" s="78"/>
      <c r="AB52" s="78"/>
      <c r="AC52" s="95"/>
      <c r="AD52" s="96"/>
      <c r="AE52" s="92"/>
      <c r="AF52" s="92"/>
      <c r="AG52" s="32"/>
    </row>
    <row r="53" spans="2:42">
      <c r="B53" s="113">
        <f t="shared" si="9"/>
        <v>18</v>
      </c>
      <c r="C53" s="64" t="s">
        <v>399</v>
      </c>
      <c r="D53" s="64" t="s">
        <v>400</v>
      </c>
      <c r="E53" s="64"/>
      <c r="F53" s="66">
        <v>476</v>
      </c>
      <c r="G53" s="67">
        <f t="shared" si="7"/>
        <v>10476000</v>
      </c>
      <c r="H53" s="278" t="s">
        <v>399</v>
      </c>
      <c r="I53" s="66" t="s">
        <v>232</v>
      </c>
      <c r="J53" s="66" t="s">
        <v>120</v>
      </c>
      <c r="K53" s="66" t="s">
        <v>232</v>
      </c>
      <c r="L53" s="66" t="s">
        <v>233</v>
      </c>
      <c r="M53" s="93">
        <f t="shared" si="10"/>
        <v>2500713</v>
      </c>
      <c r="N53" s="93">
        <v>61500</v>
      </c>
      <c r="O53" s="127">
        <f>31045+9617</f>
        <v>40662</v>
      </c>
      <c r="P53" s="114"/>
      <c r="Q53" s="71"/>
      <c r="R53" s="94"/>
      <c r="S53" s="94" t="s">
        <v>240</v>
      </c>
      <c r="T53" s="94" t="s">
        <v>401</v>
      </c>
      <c r="U53" s="78"/>
      <c r="V53" s="78"/>
      <c r="W53" s="78"/>
      <c r="X53" s="78"/>
      <c r="Y53" s="78"/>
      <c r="Z53" s="78"/>
      <c r="AA53" s="78"/>
      <c r="AB53" s="78"/>
      <c r="AC53" s="95"/>
      <c r="AD53" s="96"/>
      <c r="AE53" s="92"/>
      <c r="AF53" s="32"/>
      <c r="AG53" s="32"/>
      <c r="AL53" s="128" t="s">
        <v>402</v>
      </c>
      <c r="AM53" s="24" t="s">
        <v>403</v>
      </c>
    </row>
    <row r="54" spans="2:42">
      <c r="B54" s="113">
        <f t="shared" si="9"/>
        <v>19</v>
      </c>
      <c r="C54" s="64" t="s">
        <v>404</v>
      </c>
      <c r="D54" s="64" t="s">
        <v>405</v>
      </c>
      <c r="E54" s="64"/>
      <c r="F54" s="66">
        <v>438</v>
      </c>
      <c r="G54" s="67">
        <f t="shared" si="7"/>
        <v>10438000</v>
      </c>
      <c r="H54" s="278" t="s">
        <v>404</v>
      </c>
      <c r="I54" s="66" t="s">
        <v>406</v>
      </c>
      <c r="J54" s="66" t="s">
        <v>63</v>
      </c>
      <c r="K54" s="66" t="s">
        <v>406</v>
      </c>
      <c r="L54" s="66" t="s">
        <v>245</v>
      </c>
      <c r="M54" s="93">
        <f t="shared" si="10"/>
        <v>1992267.9</v>
      </c>
      <c r="N54" s="93">
        <v>100</v>
      </c>
      <c r="O54" s="94">
        <f>202679+19720000</f>
        <v>19922679</v>
      </c>
      <c r="P54" s="114"/>
      <c r="Q54" s="71"/>
      <c r="R54" s="94"/>
      <c r="S54" s="94" t="s">
        <v>407</v>
      </c>
      <c r="T54" s="94" t="s">
        <v>408</v>
      </c>
      <c r="U54" s="78"/>
      <c r="V54" s="78"/>
      <c r="W54" s="78"/>
      <c r="X54" s="78"/>
      <c r="Y54" s="78"/>
      <c r="Z54" s="78"/>
      <c r="AA54" s="78">
        <v>103366</v>
      </c>
      <c r="AB54" s="79">
        <v>36103</v>
      </c>
      <c r="AC54" s="78">
        <v>757</v>
      </c>
      <c r="AD54" s="80">
        <v>36285</v>
      </c>
      <c r="AE54" s="75"/>
      <c r="AF54" s="75"/>
      <c r="AG54" s="32"/>
      <c r="AH54" s="24" t="s">
        <v>409</v>
      </c>
    </row>
    <row r="55" spans="2:42">
      <c r="B55" s="113">
        <f t="shared" si="9"/>
        <v>20</v>
      </c>
      <c r="C55" s="64" t="s">
        <v>410</v>
      </c>
      <c r="D55" s="64" t="s">
        <v>411</v>
      </c>
      <c r="E55" s="64"/>
      <c r="F55" s="66">
        <v>13</v>
      </c>
      <c r="G55" s="67">
        <f t="shared" si="7"/>
        <v>10013000</v>
      </c>
      <c r="H55" s="278" t="s">
        <v>410</v>
      </c>
      <c r="I55" s="66" t="s">
        <v>232</v>
      </c>
      <c r="J55" s="66" t="s">
        <v>28</v>
      </c>
      <c r="K55" s="66" t="s">
        <v>232</v>
      </c>
      <c r="L55" s="66" t="s">
        <v>245</v>
      </c>
      <c r="M55" s="93">
        <f t="shared" si="10"/>
        <v>54998.45</v>
      </c>
      <c r="N55" s="93">
        <v>130</v>
      </c>
      <c r="O55" s="94">
        <v>423065</v>
      </c>
      <c r="P55" s="78"/>
      <c r="Q55" s="71"/>
      <c r="R55" s="66"/>
      <c r="S55" s="66" t="s">
        <v>292</v>
      </c>
      <c r="T55" s="66"/>
      <c r="U55" s="78"/>
      <c r="V55" s="79">
        <v>35129</v>
      </c>
      <c r="W55" s="78">
        <v>82900</v>
      </c>
      <c r="X55" s="78"/>
      <c r="Y55" s="78"/>
      <c r="Z55" s="78"/>
      <c r="AA55" s="78"/>
      <c r="AB55" s="78"/>
      <c r="AC55" s="78"/>
      <c r="AD55" s="96"/>
      <c r="AE55" s="92"/>
      <c r="AF55" s="92"/>
      <c r="AG55" s="32" t="s">
        <v>412</v>
      </c>
      <c r="AL55" s="24" t="s">
        <v>413</v>
      </c>
    </row>
    <row r="56" spans="2:42">
      <c r="B56" s="113">
        <f t="shared" si="9"/>
        <v>21</v>
      </c>
      <c r="C56" s="64" t="s">
        <v>414</v>
      </c>
      <c r="D56" s="64" t="s">
        <v>415</v>
      </c>
      <c r="E56" s="64"/>
      <c r="F56" s="66">
        <v>77</v>
      </c>
      <c r="G56" s="67">
        <f t="shared" si="7"/>
        <v>10077000</v>
      </c>
      <c r="H56" s="278" t="s">
        <v>414</v>
      </c>
      <c r="I56" s="66" t="s">
        <v>345</v>
      </c>
      <c r="J56" s="66" t="s">
        <v>416</v>
      </c>
      <c r="K56" s="66" t="s">
        <v>345</v>
      </c>
      <c r="L56" s="66" t="s">
        <v>380</v>
      </c>
      <c r="M56" s="93">
        <f t="shared" si="10"/>
        <v>8217.4</v>
      </c>
      <c r="N56" s="93">
        <v>100</v>
      </c>
      <c r="O56" s="94">
        <f>88378-6204</f>
        <v>82174</v>
      </c>
      <c r="P56" s="70"/>
      <c r="Q56" s="71"/>
      <c r="R56" s="94" t="s">
        <v>345</v>
      </c>
      <c r="S56" s="94" t="s">
        <v>346</v>
      </c>
      <c r="T56" s="94" t="s">
        <v>417</v>
      </c>
      <c r="U56" s="129"/>
      <c r="V56" s="78"/>
      <c r="W56" s="78" t="s">
        <v>240</v>
      </c>
      <c r="X56" s="79">
        <v>35733</v>
      </c>
      <c r="Y56" s="78"/>
      <c r="Z56" s="78">
        <v>-8400</v>
      </c>
      <c r="AA56" s="78"/>
      <c r="AB56" s="78"/>
      <c r="AC56" s="95"/>
      <c r="AD56" s="96"/>
      <c r="AE56" s="92"/>
      <c r="AF56" s="92"/>
      <c r="AG56" s="32" t="s">
        <v>418</v>
      </c>
      <c r="AP56" s="24" t="s">
        <v>419</v>
      </c>
    </row>
    <row r="57" spans="2:42">
      <c r="B57" s="113">
        <f t="shared" si="9"/>
        <v>22</v>
      </c>
      <c r="C57" s="64" t="s">
        <v>420</v>
      </c>
      <c r="D57" s="64" t="s">
        <v>421</v>
      </c>
      <c r="E57" s="64"/>
      <c r="F57" s="66">
        <v>152</v>
      </c>
      <c r="G57" s="67">
        <f t="shared" si="7"/>
        <v>10152000</v>
      </c>
      <c r="H57" s="278" t="s">
        <v>420</v>
      </c>
      <c r="I57" s="66" t="s">
        <v>422</v>
      </c>
      <c r="J57" s="66" t="s">
        <v>33</v>
      </c>
      <c r="K57" s="66" t="s">
        <v>422</v>
      </c>
      <c r="L57" s="66" t="s">
        <v>380</v>
      </c>
      <c r="M57" s="93">
        <f t="shared" si="10"/>
        <v>7215.7</v>
      </c>
      <c r="N57" s="93">
        <v>100</v>
      </c>
      <c r="O57" s="94">
        <v>72157</v>
      </c>
      <c r="P57" s="116"/>
      <c r="Q57" s="71"/>
      <c r="R57" s="94"/>
      <c r="S57" s="94" t="s">
        <v>423</v>
      </c>
      <c r="T57" s="94"/>
      <c r="U57" s="78"/>
      <c r="V57" s="78"/>
      <c r="W57" s="78"/>
      <c r="X57" s="78"/>
      <c r="Y57" s="78"/>
      <c r="Z57" s="78"/>
      <c r="AA57" s="78">
        <v>37520</v>
      </c>
      <c r="AB57" s="79">
        <v>35818</v>
      </c>
      <c r="AC57" s="78">
        <v>30</v>
      </c>
      <c r="AD57" s="80">
        <v>35828</v>
      </c>
      <c r="AE57" s="75"/>
      <c r="AF57" s="75"/>
      <c r="AG57" s="32"/>
    </row>
    <row r="58" spans="2:42">
      <c r="B58" s="113">
        <f t="shared" si="9"/>
        <v>23</v>
      </c>
      <c r="C58" s="64" t="s">
        <v>424</v>
      </c>
      <c r="D58" s="130" t="s">
        <v>425</v>
      </c>
      <c r="E58" s="32"/>
      <c r="F58" s="66">
        <v>522</v>
      </c>
      <c r="G58" s="67">
        <f t="shared" si="7"/>
        <v>10522000</v>
      </c>
      <c r="H58" s="278" t="s">
        <v>424</v>
      </c>
      <c r="I58" s="66" t="s">
        <v>232</v>
      </c>
      <c r="J58" s="66" t="s">
        <v>122</v>
      </c>
      <c r="K58" s="66" t="s">
        <v>232</v>
      </c>
      <c r="L58" s="66" t="s">
        <v>245</v>
      </c>
      <c r="M58" s="93">
        <f t="shared" si="10"/>
        <v>1700000</v>
      </c>
      <c r="N58" s="93">
        <v>100</v>
      </c>
      <c r="O58" s="94">
        <f>11000000+6000000</f>
        <v>17000000</v>
      </c>
      <c r="P58" s="70"/>
      <c r="Q58" s="71"/>
      <c r="R58" s="90"/>
      <c r="S58" s="90"/>
      <c r="T58" s="90"/>
      <c r="U58" s="36"/>
      <c r="V58" s="36"/>
      <c r="W58" s="36"/>
      <c r="X58" s="36"/>
      <c r="Y58" s="36"/>
      <c r="Z58" s="36"/>
      <c r="AA58" s="36"/>
      <c r="AB58" s="36"/>
      <c r="AC58" s="36"/>
      <c r="AD58" s="92"/>
      <c r="AE58" s="92"/>
      <c r="AF58" s="92"/>
      <c r="AG58" s="32" t="s">
        <v>426</v>
      </c>
    </row>
    <row r="59" spans="2:42">
      <c r="B59" s="113">
        <f t="shared" si="9"/>
        <v>24</v>
      </c>
      <c r="C59" s="64" t="s">
        <v>427</v>
      </c>
      <c r="D59" s="64" t="s">
        <v>428</v>
      </c>
      <c r="E59" s="64"/>
      <c r="F59" s="66">
        <v>315</v>
      </c>
      <c r="G59" s="67">
        <f t="shared" si="7"/>
        <v>10315000</v>
      </c>
      <c r="H59" s="278" t="s">
        <v>427</v>
      </c>
      <c r="I59" s="66" t="s">
        <v>232</v>
      </c>
      <c r="J59" s="66" t="s">
        <v>429</v>
      </c>
      <c r="K59" s="66" t="s">
        <v>232</v>
      </c>
      <c r="L59" s="66" t="s">
        <v>233</v>
      </c>
      <c r="M59" s="93">
        <f t="shared" si="10"/>
        <v>226832</v>
      </c>
      <c r="N59" s="93">
        <v>100</v>
      </c>
      <c r="O59" s="94">
        <f>215706+1052614+1000000</f>
        <v>2268320</v>
      </c>
      <c r="P59" s="114"/>
      <c r="Q59" s="71"/>
      <c r="R59" s="94"/>
      <c r="S59" s="94" t="s">
        <v>292</v>
      </c>
      <c r="T59" s="94" t="s">
        <v>430</v>
      </c>
      <c r="U59" s="78">
        <v>30552.1</v>
      </c>
      <c r="V59" s="78"/>
      <c r="W59" s="78"/>
      <c r="X59" s="78"/>
      <c r="Y59" s="78"/>
      <c r="Z59" s="78"/>
      <c r="AA59" s="78">
        <v>64711</v>
      </c>
      <c r="AB59" s="79">
        <v>36061</v>
      </c>
      <c r="AC59" s="78">
        <v>646</v>
      </c>
      <c r="AD59" s="80">
        <v>36223</v>
      </c>
      <c r="AE59" s="75"/>
      <c r="AF59" s="75"/>
      <c r="AG59" s="32"/>
    </row>
    <row r="60" spans="2:42">
      <c r="B60" s="113">
        <f t="shared" si="9"/>
        <v>25</v>
      </c>
      <c r="C60" s="64" t="s">
        <v>431</v>
      </c>
      <c r="D60" s="64" t="s">
        <v>432</v>
      </c>
      <c r="E60" s="64"/>
      <c r="F60" s="66">
        <v>176</v>
      </c>
      <c r="G60" s="67">
        <f t="shared" si="7"/>
        <v>10176000</v>
      </c>
      <c r="H60" s="278" t="s">
        <v>431</v>
      </c>
      <c r="I60" s="66" t="s">
        <v>232</v>
      </c>
      <c r="J60" s="66" t="s">
        <v>123</v>
      </c>
      <c r="K60" s="66" t="s">
        <v>232</v>
      </c>
      <c r="L60" s="66" t="s">
        <v>245</v>
      </c>
      <c r="M60" s="93">
        <f t="shared" si="10"/>
        <v>189254</v>
      </c>
      <c r="N60" s="93">
        <v>100</v>
      </c>
      <c r="O60" s="94">
        <f>87486+1805054</f>
        <v>1892540</v>
      </c>
      <c r="P60" s="116"/>
      <c r="Q60" s="71"/>
      <c r="R60" s="66"/>
      <c r="S60" s="66" t="s">
        <v>297</v>
      </c>
      <c r="T60" s="66" t="s">
        <v>433</v>
      </c>
      <c r="U60" s="78">
        <v>24600</v>
      </c>
      <c r="V60" s="78"/>
      <c r="W60" s="78"/>
      <c r="X60" s="78"/>
      <c r="Y60" s="78"/>
      <c r="Z60" s="78"/>
      <c r="AA60" s="78"/>
      <c r="AB60" s="78"/>
      <c r="AC60" s="78"/>
      <c r="AD60" s="96"/>
      <c r="AE60" s="92"/>
      <c r="AF60" s="92"/>
      <c r="AG60" s="32"/>
    </row>
    <row r="61" spans="2:42">
      <c r="B61" s="113">
        <f t="shared" si="9"/>
        <v>26</v>
      </c>
      <c r="C61" s="64" t="s">
        <v>434</v>
      </c>
      <c r="D61" s="65" t="s">
        <v>435</v>
      </c>
      <c r="E61" s="65"/>
      <c r="F61" s="66">
        <v>480</v>
      </c>
      <c r="G61" s="67">
        <f t="shared" si="7"/>
        <v>10480000</v>
      </c>
      <c r="H61" s="278" t="s">
        <v>434</v>
      </c>
      <c r="I61" s="66" t="s">
        <v>436</v>
      </c>
      <c r="J61" s="66" t="s">
        <v>437</v>
      </c>
      <c r="K61" s="66" t="s">
        <v>436</v>
      </c>
      <c r="L61" s="66" t="s">
        <v>239</v>
      </c>
      <c r="M61" s="93">
        <f t="shared" si="10"/>
        <v>400300</v>
      </c>
      <c r="N61" s="93">
        <v>5000</v>
      </c>
      <c r="O61" s="94">
        <v>80060</v>
      </c>
      <c r="P61" s="116"/>
      <c r="Q61" s="71"/>
      <c r="R61" s="66"/>
      <c r="S61" s="66" t="s">
        <v>240</v>
      </c>
      <c r="T61" s="66" t="s">
        <v>438</v>
      </c>
      <c r="U61" s="78"/>
      <c r="V61" s="78"/>
      <c r="W61" s="78"/>
      <c r="X61" s="79">
        <v>35922</v>
      </c>
      <c r="Y61" s="78"/>
      <c r="Z61" s="78"/>
      <c r="AA61" s="78">
        <v>80060</v>
      </c>
      <c r="AB61" s="79">
        <v>35927</v>
      </c>
      <c r="AC61" s="78">
        <v>339</v>
      </c>
      <c r="AD61" s="80">
        <v>35982</v>
      </c>
      <c r="AE61" s="75"/>
      <c r="AF61" s="75"/>
      <c r="AG61" s="32" t="s">
        <v>439</v>
      </c>
      <c r="AH61" s="24" t="s">
        <v>440</v>
      </c>
    </row>
    <row r="62" spans="2:42">
      <c r="B62" s="113">
        <f t="shared" si="9"/>
        <v>27</v>
      </c>
      <c r="C62" s="64" t="s">
        <v>441</v>
      </c>
      <c r="D62" s="64" t="s">
        <v>442</v>
      </c>
      <c r="E62" s="64"/>
      <c r="F62" s="66">
        <v>207</v>
      </c>
      <c r="G62" s="67">
        <f t="shared" si="7"/>
        <v>10207000</v>
      </c>
      <c r="H62" s="278" t="s">
        <v>441</v>
      </c>
      <c r="I62" s="66" t="s">
        <v>422</v>
      </c>
      <c r="J62" s="66" t="s">
        <v>443</v>
      </c>
      <c r="K62" s="66" t="s">
        <v>422</v>
      </c>
      <c r="L62" s="66" t="s">
        <v>380</v>
      </c>
      <c r="M62" s="93">
        <f t="shared" si="10"/>
        <v>19796.900000000001</v>
      </c>
      <c r="N62" s="93">
        <v>100</v>
      </c>
      <c r="O62" s="94">
        <v>197969</v>
      </c>
      <c r="P62" s="114"/>
      <c r="Q62" s="71"/>
      <c r="R62" s="94"/>
      <c r="S62" s="94" t="s">
        <v>423</v>
      </c>
      <c r="T62" s="94"/>
      <c r="U62" s="78"/>
      <c r="V62" s="78"/>
      <c r="W62" s="78"/>
      <c r="X62" s="78"/>
      <c r="Y62" s="78"/>
      <c r="Z62" s="78"/>
      <c r="AA62" s="78">
        <v>325922</v>
      </c>
      <c r="AB62" s="79">
        <v>35961</v>
      </c>
      <c r="AC62" s="78">
        <v>433</v>
      </c>
      <c r="AD62" s="80">
        <v>36084</v>
      </c>
      <c r="AE62" s="75"/>
      <c r="AF62" s="75"/>
      <c r="AG62" s="32"/>
    </row>
    <row r="63" spans="2:42">
      <c r="B63" s="113">
        <f t="shared" si="9"/>
        <v>28</v>
      </c>
      <c r="C63" s="64" t="s">
        <v>444</v>
      </c>
      <c r="D63" s="64" t="s">
        <v>445</v>
      </c>
      <c r="E63" s="64"/>
      <c r="F63" s="66">
        <v>435</v>
      </c>
      <c r="G63" s="67">
        <f t="shared" si="7"/>
        <v>10435000</v>
      </c>
      <c r="H63" s="278" t="s">
        <v>444</v>
      </c>
      <c r="I63" s="66" t="s">
        <v>232</v>
      </c>
      <c r="J63" s="66" t="s">
        <v>446</v>
      </c>
      <c r="K63" s="66" t="s">
        <v>232</v>
      </c>
      <c r="L63" s="66" t="s">
        <v>245</v>
      </c>
      <c r="M63" s="93">
        <f t="shared" si="10"/>
        <v>127253.5</v>
      </c>
      <c r="N63" s="93">
        <v>100</v>
      </c>
      <c r="O63" s="94">
        <v>1272535</v>
      </c>
      <c r="P63" s="114"/>
      <c r="Q63" s="71"/>
      <c r="R63" s="94"/>
      <c r="S63" s="94" t="s">
        <v>292</v>
      </c>
      <c r="T63" s="94" t="s">
        <v>447</v>
      </c>
      <c r="U63" s="78"/>
      <c r="V63" s="78"/>
      <c r="W63" s="78"/>
      <c r="X63" s="78"/>
      <c r="Y63" s="78"/>
      <c r="Z63" s="78"/>
      <c r="AA63" s="78">
        <v>648992</v>
      </c>
      <c r="AB63" s="79">
        <v>36132</v>
      </c>
      <c r="AC63" s="78">
        <v>850</v>
      </c>
      <c r="AD63" s="80">
        <v>36146</v>
      </c>
      <c r="AE63" s="75"/>
      <c r="AF63" s="75"/>
      <c r="AG63" s="32"/>
    </row>
    <row r="64" spans="2:42">
      <c r="B64" s="113">
        <f t="shared" si="9"/>
        <v>29</v>
      </c>
      <c r="C64" s="64" t="s">
        <v>448</v>
      </c>
      <c r="D64" s="64" t="s">
        <v>449</v>
      </c>
      <c r="E64" s="64"/>
      <c r="F64" s="66">
        <v>69</v>
      </c>
      <c r="G64" s="67">
        <f t="shared" si="7"/>
        <v>10069000</v>
      </c>
      <c r="H64" s="278" t="s">
        <v>448</v>
      </c>
      <c r="I64" s="66" t="s">
        <v>232</v>
      </c>
      <c r="J64" s="66" t="s">
        <v>124</v>
      </c>
      <c r="K64" s="66" t="s">
        <v>232</v>
      </c>
      <c r="L64" s="66" t="s">
        <v>380</v>
      </c>
      <c r="M64" s="93">
        <f t="shared" si="10"/>
        <v>45729.3</v>
      </c>
      <c r="N64" s="93">
        <v>100</v>
      </c>
      <c r="O64" s="94">
        <v>457293</v>
      </c>
      <c r="P64" s="116"/>
      <c r="Q64" s="71"/>
      <c r="R64" s="66"/>
      <c r="S64" s="66" t="s">
        <v>292</v>
      </c>
      <c r="T64" s="66" t="s">
        <v>450</v>
      </c>
      <c r="U64" s="78"/>
      <c r="V64" s="78"/>
      <c r="W64" s="78"/>
      <c r="X64" s="78"/>
      <c r="Y64" s="78"/>
      <c r="Z64" s="78"/>
      <c r="AA64" s="78"/>
      <c r="AB64" s="78"/>
      <c r="AC64" s="78"/>
      <c r="AD64" s="96"/>
      <c r="AE64" s="92"/>
      <c r="AF64" s="92"/>
      <c r="AG64" s="32"/>
    </row>
    <row r="65" spans="2:45">
      <c r="B65" s="113">
        <f t="shared" si="9"/>
        <v>30</v>
      </c>
      <c r="C65" s="64" t="s">
        <v>451</v>
      </c>
      <c r="D65" s="64" t="s">
        <v>452</v>
      </c>
      <c r="E65" s="64"/>
      <c r="F65" s="63">
        <v>308</v>
      </c>
      <c r="G65" s="67">
        <f t="shared" si="7"/>
        <v>10308000</v>
      </c>
      <c r="H65" s="278" t="s">
        <v>451</v>
      </c>
      <c r="I65" s="63" t="s">
        <v>453</v>
      </c>
      <c r="J65" s="63" t="s">
        <v>50</v>
      </c>
      <c r="K65" s="63" t="s">
        <v>453</v>
      </c>
      <c r="L65" s="63" t="s">
        <v>233</v>
      </c>
      <c r="M65" s="93">
        <f t="shared" si="10"/>
        <v>11321.2</v>
      </c>
      <c r="N65" s="93">
        <v>100</v>
      </c>
      <c r="O65" s="103">
        <v>113212</v>
      </c>
      <c r="P65" s="116"/>
      <c r="Q65" s="71"/>
      <c r="R65" s="66"/>
      <c r="S65" s="66" t="s">
        <v>454</v>
      </c>
      <c r="T65" s="66" t="s">
        <v>455</v>
      </c>
      <c r="U65" s="78"/>
      <c r="V65" s="78"/>
      <c r="W65" s="78"/>
      <c r="X65" s="78"/>
      <c r="Y65" s="78"/>
      <c r="Z65" s="78"/>
      <c r="AA65" s="78"/>
      <c r="AB65" s="78"/>
      <c r="AC65" s="78"/>
      <c r="AD65" s="96"/>
      <c r="AE65" s="92"/>
      <c r="AF65" s="92"/>
      <c r="AG65" s="32"/>
    </row>
    <row r="66" spans="2:45">
      <c r="B66" s="113">
        <f t="shared" si="9"/>
        <v>31</v>
      </c>
      <c r="C66" s="64" t="s">
        <v>456</v>
      </c>
      <c r="D66" s="64" t="s">
        <v>457</v>
      </c>
      <c r="E66" s="64"/>
      <c r="F66" s="63">
        <v>239</v>
      </c>
      <c r="G66" s="67">
        <f t="shared" si="7"/>
        <v>10239000</v>
      </c>
      <c r="H66" s="278" t="s">
        <v>456</v>
      </c>
      <c r="I66" s="63" t="s">
        <v>232</v>
      </c>
      <c r="J66" s="63" t="s">
        <v>45</v>
      </c>
      <c r="K66" s="63" t="s">
        <v>232</v>
      </c>
      <c r="L66" s="63" t="s">
        <v>350</v>
      </c>
      <c r="M66" s="93">
        <f t="shared" si="10"/>
        <v>19118</v>
      </c>
      <c r="N66" s="93">
        <v>100</v>
      </c>
      <c r="O66" s="103">
        <v>191180</v>
      </c>
      <c r="P66" s="116"/>
      <c r="Q66" s="71"/>
      <c r="R66" s="66"/>
      <c r="S66" s="66" t="s">
        <v>323</v>
      </c>
      <c r="T66" s="66" t="s">
        <v>458</v>
      </c>
      <c r="U66" s="78"/>
      <c r="V66" s="79">
        <v>35644</v>
      </c>
      <c r="W66" s="78">
        <v>33032</v>
      </c>
      <c r="X66" s="78"/>
      <c r="Y66" s="78"/>
      <c r="Z66" s="78"/>
      <c r="AA66" s="78"/>
      <c r="AB66" s="78"/>
      <c r="AC66" s="78"/>
      <c r="AD66" s="96"/>
      <c r="AE66" s="92"/>
      <c r="AF66" s="92"/>
      <c r="AG66" s="32"/>
    </row>
    <row r="67" spans="2:45">
      <c r="B67" s="113">
        <f t="shared" si="9"/>
        <v>32</v>
      </c>
      <c r="C67" s="64" t="s">
        <v>459</v>
      </c>
      <c r="D67" s="65" t="s">
        <v>460</v>
      </c>
      <c r="E67" s="65"/>
      <c r="F67" s="66">
        <v>492</v>
      </c>
      <c r="G67" s="67">
        <f t="shared" si="7"/>
        <v>10492000</v>
      </c>
      <c r="H67" s="278" t="s">
        <v>459</v>
      </c>
      <c r="I67" s="66" t="s">
        <v>232</v>
      </c>
      <c r="J67" s="66" t="s">
        <v>121</v>
      </c>
      <c r="K67" s="66" t="s">
        <v>232</v>
      </c>
      <c r="L67" s="66" t="s">
        <v>239</v>
      </c>
      <c r="M67" s="93">
        <f t="shared" si="10"/>
        <v>1906208</v>
      </c>
      <c r="N67" s="93">
        <v>100</v>
      </c>
      <c r="O67" s="131">
        <v>19062080</v>
      </c>
      <c r="P67" s="76"/>
      <c r="Q67" s="71"/>
      <c r="R67" s="131"/>
      <c r="S67" s="132" t="s">
        <v>240</v>
      </c>
      <c r="T67" s="132" t="s">
        <v>461</v>
      </c>
      <c r="U67" s="78"/>
      <c r="V67" s="78"/>
      <c r="W67" s="78"/>
      <c r="X67" s="79"/>
      <c r="Y67" s="78"/>
      <c r="Z67" s="78"/>
      <c r="AA67" s="78"/>
      <c r="AB67" s="79"/>
      <c r="AC67" s="78"/>
      <c r="AD67" s="80"/>
      <c r="AE67" s="75"/>
      <c r="AF67" s="75"/>
      <c r="AG67" s="32" t="s">
        <v>462</v>
      </c>
      <c r="AI67" s="24" t="s">
        <v>463</v>
      </c>
      <c r="AO67" s="24" t="s">
        <v>464</v>
      </c>
      <c r="AR67" s="133" t="s">
        <v>465</v>
      </c>
      <c r="AS67" s="134"/>
    </row>
    <row r="68" spans="2:45">
      <c r="B68" s="113">
        <f t="shared" si="9"/>
        <v>33</v>
      </c>
      <c r="C68" s="64" t="s">
        <v>466</v>
      </c>
      <c r="D68" s="64" t="s">
        <v>467</v>
      </c>
      <c r="E68" s="64"/>
      <c r="F68" s="66">
        <v>234</v>
      </c>
      <c r="G68" s="67">
        <f t="shared" si="7"/>
        <v>10234000</v>
      </c>
      <c r="H68" s="278" t="s">
        <v>466</v>
      </c>
      <c r="I68" s="66" t="s">
        <v>232</v>
      </c>
      <c r="J68" s="66" t="s">
        <v>44</v>
      </c>
      <c r="K68" s="66" t="s">
        <v>232</v>
      </c>
      <c r="L68" s="66" t="s">
        <v>259</v>
      </c>
      <c r="M68" s="93">
        <f t="shared" si="10"/>
        <v>24246.400000000001</v>
      </c>
      <c r="N68" s="93">
        <v>100</v>
      </c>
      <c r="O68" s="94">
        <v>242464</v>
      </c>
      <c r="P68" s="114"/>
      <c r="Q68" s="71"/>
      <c r="R68" s="94"/>
      <c r="S68" s="94" t="s">
        <v>323</v>
      </c>
      <c r="T68" s="94" t="s">
        <v>468</v>
      </c>
      <c r="U68" s="78">
        <v>665200.4</v>
      </c>
      <c r="V68" s="78"/>
      <c r="W68" s="78"/>
      <c r="X68" s="78"/>
      <c r="Y68" s="78"/>
      <c r="Z68" s="78"/>
      <c r="AA68" s="78">
        <v>123657</v>
      </c>
      <c r="AB68" s="79">
        <v>35993</v>
      </c>
      <c r="AC68" s="78">
        <v>523</v>
      </c>
      <c r="AD68" s="79">
        <v>36000</v>
      </c>
      <c r="AE68" s="74"/>
      <c r="AF68" s="74"/>
      <c r="AG68" s="32"/>
    </row>
    <row r="69" spans="2:45">
      <c r="B69" s="113">
        <f t="shared" si="9"/>
        <v>34</v>
      </c>
      <c r="C69" s="64" t="s">
        <v>469</v>
      </c>
      <c r="D69" s="64" t="s">
        <v>470</v>
      </c>
      <c r="E69" s="64"/>
      <c r="F69" s="66">
        <v>353</v>
      </c>
      <c r="G69" s="67">
        <f t="shared" si="7"/>
        <v>10353000</v>
      </c>
      <c r="H69" s="278" t="s">
        <v>469</v>
      </c>
      <c r="I69" s="66" t="s">
        <v>345</v>
      </c>
      <c r="J69" s="66" t="s">
        <v>53</v>
      </c>
      <c r="K69" s="66" t="s">
        <v>345</v>
      </c>
      <c r="L69" s="66" t="s">
        <v>245</v>
      </c>
      <c r="M69" s="93">
        <f t="shared" si="10"/>
        <v>9989.9</v>
      </c>
      <c r="N69" s="93">
        <v>100</v>
      </c>
      <c r="O69" s="94">
        <v>99899</v>
      </c>
      <c r="P69" s="70"/>
      <c r="Q69" s="71"/>
      <c r="R69" s="94"/>
      <c r="S69" s="94" t="s">
        <v>346</v>
      </c>
      <c r="T69" s="94" t="s">
        <v>471</v>
      </c>
      <c r="U69" s="129"/>
      <c r="V69" s="129"/>
      <c r="W69" s="78"/>
      <c r="X69" s="78" t="s">
        <v>472</v>
      </c>
      <c r="Y69" s="78"/>
      <c r="Z69" s="78"/>
      <c r="AA69" s="78">
        <v>26969</v>
      </c>
      <c r="AB69" s="79">
        <v>36061</v>
      </c>
      <c r="AC69" s="95">
        <v>645</v>
      </c>
      <c r="AD69" s="135" t="s">
        <v>473</v>
      </c>
      <c r="AE69" s="74"/>
      <c r="AF69" s="90" t="s">
        <v>474</v>
      </c>
      <c r="AG69" s="32"/>
    </row>
    <row r="70" spans="2:45">
      <c r="B70" s="113">
        <f t="shared" si="9"/>
        <v>35</v>
      </c>
      <c r="C70" s="64" t="s">
        <v>475</v>
      </c>
      <c r="D70" s="64" t="s">
        <v>476</v>
      </c>
      <c r="E70" s="64" t="s">
        <v>477</v>
      </c>
      <c r="F70" s="66">
        <v>528</v>
      </c>
      <c r="G70" s="67">
        <f t="shared" si="7"/>
        <v>10528000</v>
      </c>
      <c r="H70" s="278" t="s">
        <v>475</v>
      </c>
      <c r="I70" s="66" t="s">
        <v>232</v>
      </c>
      <c r="J70" s="66" t="s">
        <v>89</v>
      </c>
      <c r="K70" s="66" t="s">
        <v>232</v>
      </c>
      <c r="L70" s="66" t="s">
        <v>245</v>
      </c>
      <c r="M70" s="93">
        <f t="shared" si="10"/>
        <v>7854300.0999999996</v>
      </c>
      <c r="N70" s="93">
        <v>100</v>
      </c>
      <c r="O70" s="94">
        <v>78543001</v>
      </c>
      <c r="P70" s="116"/>
      <c r="Q70" s="71"/>
      <c r="R70" s="66"/>
      <c r="S70" s="66" t="s">
        <v>366</v>
      </c>
      <c r="T70" s="66" t="s">
        <v>367</v>
      </c>
      <c r="U70" s="78"/>
      <c r="V70" s="78"/>
      <c r="W70" s="78"/>
      <c r="X70" s="78"/>
      <c r="Y70" s="78"/>
      <c r="Z70" s="78"/>
      <c r="AA70" s="78"/>
      <c r="AB70" s="78"/>
      <c r="AC70" s="95"/>
      <c r="AD70" s="96"/>
      <c r="AE70" s="92"/>
      <c r="AF70" s="92"/>
      <c r="AG70" s="32"/>
    </row>
    <row r="71" spans="2:45">
      <c r="B71" s="113">
        <f t="shared" si="9"/>
        <v>36</v>
      </c>
      <c r="C71" s="64" t="s">
        <v>478</v>
      </c>
      <c r="D71" s="64" t="s">
        <v>479</v>
      </c>
      <c r="E71" s="64"/>
      <c r="F71" s="66">
        <v>125</v>
      </c>
      <c r="G71" s="67">
        <f t="shared" si="7"/>
        <v>10125000</v>
      </c>
      <c r="H71" s="278" t="s">
        <v>478</v>
      </c>
      <c r="I71" s="66" t="s">
        <v>296</v>
      </c>
      <c r="J71" s="66" t="s">
        <v>480</v>
      </c>
      <c r="K71" s="66" t="s">
        <v>296</v>
      </c>
      <c r="L71" s="66" t="s">
        <v>259</v>
      </c>
      <c r="M71" s="93">
        <f t="shared" si="10"/>
        <v>10730.6</v>
      </c>
      <c r="N71" s="93">
        <v>100</v>
      </c>
      <c r="O71" s="94">
        <v>107306</v>
      </c>
      <c r="P71" s="116"/>
      <c r="Q71" s="71"/>
      <c r="R71" s="66"/>
      <c r="S71" s="66" t="s">
        <v>292</v>
      </c>
      <c r="T71" s="66"/>
      <c r="U71" s="78"/>
      <c r="V71" s="78"/>
      <c r="W71" s="78"/>
      <c r="X71" s="78"/>
      <c r="Y71" s="78"/>
      <c r="Z71" s="78"/>
      <c r="AA71" s="78"/>
      <c r="AB71" s="78"/>
      <c r="AC71" s="78"/>
      <c r="AD71" s="96"/>
      <c r="AE71" s="92"/>
      <c r="AF71" s="92"/>
      <c r="AG71" s="32"/>
    </row>
    <row r="72" spans="2:45">
      <c r="B72" s="113">
        <f t="shared" si="9"/>
        <v>37</v>
      </c>
      <c r="C72" s="64" t="s">
        <v>481</v>
      </c>
      <c r="D72" s="64" t="s">
        <v>482</v>
      </c>
      <c r="E72" s="64"/>
      <c r="F72" s="66">
        <v>354</v>
      </c>
      <c r="G72" s="67">
        <f t="shared" si="7"/>
        <v>10354000</v>
      </c>
      <c r="H72" s="278" t="s">
        <v>481</v>
      </c>
      <c r="I72" s="66" t="s">
        <v>232</v>
      </c>
      <c r="J72" s="66" t="s">
        <v>483</v>
      </c>
      <c r="K72" s="66" t="s">
        <v>232</v>
      </c>
      <c r="L72" s="66" t="s">
        <v>350</v>
      </c>
      <c r="M72" s="93">
        <f t="shared" si="10"/>
        <v>780112.5</v>
      </c>
      <c r="N72" s="93">
        <f>100/100</f>
        <v>1</v>
      </c>
      <c r="O72" s="94">
        <f>7801125*100</f>
        <v>780112500</v>
      </c>
      <c r="P72" s="70"/>
      <c r="Q72" s="71"/>
      <c r="R72" s="94" t="s">
        <v>234</v>
      </c>
      <c r="S72" s="94" t="s">
        <v>292</v>
      </c>
      <c r="T72" s="94" t="s">
        <v>484</v>
      </c>
      <c r="U72" s="78"/>
      <c r="V72" s="78"/>
      <c r="W72" s="78"/>
      <c r="X72" s="78"/>
      <c r="Y72" s="78"/>
      <c r="Z72" s="78"/>
      <c r="AA72" s="78">
        <v>5730198</v>
      </c>
      <c r="AB72" s="78" t="s">
        <v>485</v>
      </c>
      <c r="AC72" s="95">
        <v>325</v>
      </c>
      <c r="AD72" s="80">
        <v>39349</v>
      </c>
      <c r="AE72" s="97"/>
      <c r="AF72" s="98">
        <f>+O72-Q72</f>
        <v>780112500</v>
      </c>
      <c r="AG72" s="32" t="s">
        <v>486</v>
      </c>
    </row>
    <row r="73" spans="2:45">
      <c r="B73" s="113">
        <f t="shared" si="9"/>
        <v>38</v>
      </c>
      <c r="C73" s="64" t="s">
        <v>487</v>
      </c>
      <c r="D73" s="64" t="s">
        <v>488</v>
      </c>
      <c r="E73" s="64"/>
      <c r="F73" s="66">
        <v>86</v>
      </c>
      <c r="G73" s="67">
        <f t="shared" si="7"/>
        <v>10086000</v>
      </c>
      <c r="H73" s="278" t="s">
        <v>487</v>
      </c>
      <c r="I73" s="66" t="s">
        <v>262</v>
      </c>
      <c r="J73" s="66" t="s">
        <v>145</v>
      </c>
      <c r="K73" s="66" t="s">
        <v>262</v>
      </c>
      <c r="L73" s="66" t="s">
        <v>350</v>
      </c>
      <c r="M73" s="93">
        <f t="shared" si="10"/>
        <v>19049.099999999999</v>
      </c>
      <c r="N73" s="93">
        <v>100</v>
      </c>
      <c r="O73" s="94">
        <v>190491</v>
      </c>
      <c r="P73" s="114"/>
      <c r="Q73" s="71"/>
      <c r="R73" s="94"/>
      <c r="S73" s="94" t="s">
        <v>489</v>
      </c>
      <c r="T73" s="94"/>
      <c r="U73" s="78">
        <v>11000</v>
      </c>
      <c r="V73" s="78"/>
      <c r="W73" s="78"/>
      <c r="X73" s="78"/>
      <c r="Y73" s="78"/>
      <c r="Z73" s="78"/>
      <c r="AA73" s="78">
        <v>97150</v>
      </c>
      <c r="AB73" s="79">
        <v>35951</v>
      </c>
      <c r="AC73" s="78">
        <v>416</v>
      </c>
      <c r="AD73" s="80">
        <v>35970</v>
      </c>
      <c r="AE73" s="75"/>
      <c r="AF73" s="75"/>
      <c r="AG73" s="32"/>
    </row>
    <row r="74" spans="2:45">
      <c r="B74" s="113">
        <f t="shared" si="9"/>
        <v>39</v>
      </c>
      <c r="C74" s="64" t="s">
        <v>490</v>
      </c>
      <c r="D74" s="64" t="s">
        <v>491</v>
      </c>
      <c r="E74" s="64"/>
      <c r="F74" s="66">
        <v>148</v>
      </c>
      <c r="G74" s="67">
        <f t="shared" si="7"/>
        <v>10148000</v>
      </c>
      <c r="H74" s="278" t="s">
        <v>490</v>
      </c>
      <c r="I74" s="66" t="s">
        <v>232</v>
      </c>
      <c r="J74" s="66" t="s">
        <v>31</v>
      </c>
      <c r="K74" s="66" t="s">
        <v>232</v>
      </c>
      <c r="L74" s="66" t="s">
        <v>259</v>
      </c>
      <c r="M74" s="93">
        <f t="shared" si="10"/>
        <v>37401.800000000003</v>
      </c>
      <c r="N74" s="93">
        <v>100</v>
      </c>
      <c r="O74" s="94">
        <v>374018</v>
      </c>
      <c r="P74" s="116"/>
      <c r="Q74" s="71"/>
      <c r="R74" s="66"/>
      <c r="S74" s="66" t="s">
        <v>292</v>
      </c>
      <c r="T74" s="66" t="s">
        <v>492</v>
      </c>
      <c r="U74" s="78"/>
      <c r="V74" s="78"/>
      <c r="W74" s="78"/>
      <c r="X74" s="78"/>
      <c r="Y74" s="78"/>
      <c r="Z74" s="78"/>
      <c r="AA74" s="78"/>
      <c r="AB74" s="78"/>
      <c r="AC74" s="78"/>
      <c r="AD74" s="96"/>
      <c r="AE74" s="92"/>
      <c r="AF74" s="92"/>
      <c r="AG74" s="32"/>
      <c r="AL74" s="136"/>
    </row>
    <row r="75" spans="2:45">
      <c r="B75" s="113">
        <f t="shared" si="9"/>
        <v>40</v>
      </c>
      <c r="C75" s="64" t="s">
        <v>493</v>
      </c>
      <c r="D75" s="64" t="s">
        <v>494</v>
      </c>
      <c r="E75" s="64"/>
      <c r="F75" s="66">
        <v>159</v>
      </c>
      <c r="G75" s="67">
        <f t="shared" si="7"/>
        <v>10159000</v>
      </c>
      <c r="H75" s="278" t="s">
        <v>493</v>
      </c>
      <c r="I75" s="66" t="s">
        <v>436</v>
      </c>
      <c r="J75" s="66" t="s">
        <v>495</v>
      </c>
      <c r="K75" s="66" t="s">
        <v>436</v>
      </c>
      <c r="L75" s="66" t="s">
        <v>380</v>
      </c>
      <c r="M75" s="93">
        <f t="shared" si="10"/>
        <v>27518.6</v>
      </c>
      <c r="N75" s="93">
        <v>100</v>
      </c>
      <c r="O75" s="94">
        <v>275186</v>
      </c>
      <c r="P75" s="116"/>
      <c r="Q75" s="71"/>
      <c r="R75" s="66"/>
      <c r="S75" s="66" t="s">
        <v>496</v>
      </c>
      <c r="T75" s="66" t="s">
        <v>497</v>
      </c>
      <c r="U75" s="78">
        <v>272552</v>
      </c>
      <c r="V75" s="78"/>
      <c r="W75" s="78"/>
      <c r="X75" s="78"/>
      <c r="Y75" s="78"/>
      <c r="Z75" s="78"/>
      <c r="AA75" s="78"/>
      <c r="AB75" s="78"/>
      <c r="AC75" s="78"/>
      <c r="AD75" s="96"/>
      <c r="AE75" s="92"/>
      <c r="AF75" s="92"/>
      <c r="AG75" s="32"/>
    </row>
    <row r="76" spans="2:45">
      <c r="B76" s="113">
        <f t="shared" si="9"/>
        <v>41</v>
      </c>
      <c r="C76" s="64" t="s">
        <v>498</v>
      </c>
      <c r="D76" s="64" t="s">
        <v>499</v>
      </c>
      <c r="E76" s="64"/>
      <c r="F76" s="66">
        <v>263</v>
      </c>
      <c r="G76" s="67">
        <f t="shared" si="7"/>
        <v>10263000</v>
      </c>
      <c r="H76" s="278" t="s">
        <v>498</v>
      </c>
      <c r="I76" s="66" t="s">
        <v>453</v>
      </c>
      <c r="J76" s="66" t="s">
        <v>146</v>
      </c>
      <c r="K76" s="66" t="s">
        <v>453</v>
      </c>
      <c r="L76" s="66" t="s">
        <v>350</v>
      </c>
      <c r="M76" s="93">
        <f t="shared" si="10"/>
        <v>57084.5</v>
      </c>
      <c r="N76" s="93">
        <v>100</v>
      </c>
      <c r="O76" s="94">
        <v>570845</v>
      </c>
      <c r="P76" s="116"/>
      <c r="Q76" s="71"/>
      <c r="R76" s="66"/>
      <c r="S76" s="66" t="s">
        <v>454</v>
      </c>
      <c r="T76" s="66" t="s">
        <v>500</v>
      </c>
      <c r="U76" s="78"/>
      <c r="V76" s="78"/>
      <c r="W76" s="78"/>
      <c r="X76" s="78"/>
      <c r="Y76" s="78"/>
      <c r="Z76" s="78"/>
      <c r="AA76" s="78"/>
      <c r="AB76" s="78"/>
      <c r="AC76" s="78"/>
      <c r="AD76" s="96"/>
      <c r="AE76" s="92"/>
      <c r="AF76" s="92"/>
      <c r="AG76" s="32"/>
    </row>
    <row r="77" spans="2:45">
      <c r="B77" s="113">
        <f t="shared" si="9"/>
        <v>42</v>
      </c>
      <c r="C77" s="64" t="s">
        <v>501</v>
      </c>
      <c r="D77" s="64" t="s">
        <v>502</v>
      </c>
      <c r="E77" s="64"/>
      <c r="F77" s="66">
        <v>96</v>
      </c>
      <c r="G77" s="67">
        <f t="shared" si="7"/>
        <v>10096000</v>
      </c>
      <c r="H77" s="278" t="s">
        <v>501</v>
      </c>
      <c r="I77" s="66" t="s">
        <v>503</v>
      </c>
      <c r="J77" s="66" t="s">
        <v>147</v>
      </c>
      <c r="K77" s="66" t="s">
        <v>503</v>
      </c>
      <c r="L77" s="66" t="s">
        <v>350</v>
      </c>
      <c r="M77" s="93">
        <f t="shared" si="10"/>
        <v>11534.5</v>
      </c>
      <c r="N77" s="93">
        <v>100</v>
      </c>
      <c r="O77" s="94">
        <v>115345</v>
      </c>
      <c r="P77" s="114"/>
      <c r="Q77" s="71"/>
      <c r="R77" s="94"/>
      <c r="S77" s="94" t="s">
        <v>504</v>
      </c>
      <c r="T77" s="94" t="s">
        <v>505</v>
      </c>
      <c r="U77" s="78"/>
      <c r="V77" s="78"/>
      <c r="W77" s="78"/>
      <c r="X77" s="78"/>
      <c r="Y77" s="78"/>
      <c r="Z77" s="78"/>
      <c r="AA77" s="78">
        <v>69207</v>
      </c>
      <c r="AB77" s="79">
        <v>36103</v>
      </c>
      <c r="AC77" s="78">
        <v>759</v>
      </c>
      <c r="AD77" s="80">
        <v>36118</v>
      </c>
      <c r="AE77" s="75"/>
      <c r="AF77" s="75"/>
      <c r="AG77" s="32"/>
    </row>
    <row r="78" spans="2:45">
      <c r="B78" s="113">
        <f t="shared" si="9"/>
        <v>43</v>
      </c>
      <c r="C78" s="64" t="s">
        <v>506</v>
      </c>
      <c r="D78" s="64" t="s">
        <v>507</v>
      </c>
      <c r="E78" s="64"/>
      <c r="F78" s="66">
        <v>88</v>
      </c>
      <c r="G78" s="67">
        <f t="shared" si="7"/>
        <v>10088000</v>
      </c>
      <c r="H78" s="278" t="s">
        <v>506</v>
      </c>
      <c r="I78" s="66" t="s">
        <v>232</v>
      </c>
      <c r="J78" s="66" t="s">
        <v>148</v>
      </c>
      <c r="K78" s="66" t="s">
        <v>232</v>
      </c>
      <c r="L78" s="66" t="s">
        <v>350</v>
      </c>
      <c r="M78" s="93">
        <f t="shared" si="10"/>
        <v>161868.4</v>
      </c>
      <c r="N78" s="93">
        <v>100</v>
      </c>
      <c r="O78" s="94">
        <v>1618684</v>
      </c>
      <c r="P78" s="116"/>
      <c r="Q78" s="71"/>
      <c r="R78" s="66"/>
      <c r="S78" s="66" t="s">
        <v>292</v>
      </c>
      <c r="T78" s="66" t="s">
        <v>508</v>
      </c>
      <c r="U78" s="78"/>
      <c r="V78" s="78"/>
      <c r="W78" s="78"/>
      <c r="X78" s="78"/>
      <c r="Y78" s="78"/>
      <c r="Z78" s="78"/>
      <c r="AA78" s="78"/>
      <c r="AB78" s="78"/>
      <c r="AC78" s="78"/>
      <c r="AD78" s="96"/>
      <c r="AE78" s="92"/>
      <c r="AF78" s="92"/>
      <c r="AG78" s="32"/>
    </row>
    <row r="79" spans="2:45">
      <c r="B79" s="113">
        <f t="shared" si="9"/>
        <v>44</v>
      </c>
      <c r="C79" s="64" t="s">
        <v>509</v>
      </c>
      <c r="D79" s="64" t="s">
        <v>510</v>
      </c>
      <c r="E79" s="64"/>
      <c r="F79" s="66">
        <v>150</v>
      </c>
      <c r="G79" s="67">
        <f t="shared" si="7"/>
        <v>10150000</v>
      </c>
      <c r="H79" s="278" t="s">
        <v>509</v>
      </c>
      <c r="I79" s="66" t="s">
        <v>422</v>
      </c>
      <c r="J79" s="66" t="s">
        <v>32</v>
      </c>
      <c r="K79" s="66" t="s">
        <v>422</v>
      </c>
      <c r="L79" s="66" t="s">
        <v>380</v>
      </c>
      <c r="M79" s="93">
        <f t="shared" si="10"/>
        <v>182313.7</v>
      </c>
      <c r="N79" s="93">
        <v>100</v>
      </c>
      <c r="O79" s="94">
        <f>103703-69066+1788500</f>
        <v>1823137</v>
      </c>
      <c r="P79" s="114"/>
      <c r="Q79" s="71"/>
      <c r="R79" s="94"/>
      <c r="S79" s="94" t="s">
        <v>423</v>
      </c>
      <c r="T79" s="94"/>
      <c r="U79" s="78"/>
      <c r="V79" s="78"/>
      <c r="W79" s="78"/>
      <c r="X79" s="78"/>
      <c r="Y79" s="78"/>
      <c r="Z79" s="78"/>
      <c r="AA79" s="78">
        <v>56518</v>
      </c>
      <c r="AB79" s="79">
        <v>35944</v>
      </c>
      <c r="AC79" s="78">
        <v>383</v>
      </c>
      <c r="AD79" s="80">
        <v>36105</v>
      </c>
      <c r="AE79" s="75"/>
      <c r="AF79" s="75"/>
      <c r="AG79" s="32"/>
    </row>
    <row r="80" spans="2:45">
      <c r="B80" s="113">
        <f t="shared" si="9"/>
        <v>45</v>
      </c>
      <c r="C80" s="64" t="s">
        <v>511</v>
      </c>
      <c r="D80" s="64" t="s">
        <v>512</v>
      </c>
      <c r="E80" s="64"/>
      <c r="F80" s="66">
        <v>252</v>
      </c>
      <c r="G80" s="67">
        <f t="shared" si="7"/>
        <v>10252000</v>
      </c>
      <c r="H80" s="278" t="s">
        <v>511</v>
      </c>
      <c r="I80" s="66" t="s">
        <v>244</v>
      </c>
      <c r="J80" s="66" t="s">
        <v>48</v>
      </c>
      <c r="K80" s="66" t="s">
        <v>244</v>
      </c>
      <c r="L80" s="66" t="s">
        <v>350</v>
      </c>
      <c r="M80" s="93">
        <f t="shared" si="10"/>
        <v>61460.3</v>
      </c>
      <c r="N80" s="93">
        <v>100</v>
      </c>
      <c r="O80" s="94">
        <f>582812+614603-582812</f>
        <v>614603</v>
      </c>
      <c r="P80" s="114"/>
      <c r="Q80" s="71"/>
      <c r="R80" s="94"/>
      <c r="S80" s="94" t="s">
        <v>513</v>
      </c>
      <c r="T80" s="94" t="s">
        <v>514</v>
      </c>
      <c r="U80" s="78"/>
      <c r="V80" s="78"/>
      <c r="W80" s="78"/>
      <c r="X80" s="78"/>
      <c r="Y80" s="78"/>
      <c r="Z80" s="78"/>
      <c r="AA80" s="78">
        <v>313447</v>
      </c>
      <c r="AB80" s="79">
        <v>36139</v>
      </c>
      <c r="AC80" s="78">
        <v>862</v>
      </c>
      <c r="AD80" s="80">
        <v>36145</v>
      </c>
      <c r="AE80" s="75"/>
      <c r="AF80" s="137" t="s">
        <v>515</v>
      </c>
      <c r="AG80" s="32" t="s">
        <v>516</v>
      </c>
      <c r="AP80" s="24" t="s">
        <v>517</v>
      </c>
    </row>
    <row r="81" spans="2:47">
      <c r="B81" s="113">
        <f t="shared" si="9"/>
        <v>46</v>
      </c>
      <c r="C81" s="64" t="s">
        <v>518</v>
      </c>
      <c r="D81" s="64" t="s">
        <v>519</v>
      </c>
      <c r="E81" s="64"/>
      <c r="F81" s="66">
        <v>380</v>
      </c>
      <c r="G81" s="67">
        <f t="shared" si="7"/>
        <v>10380000</v>
      </c>
      <c r="H81" s="278" t="s">
        <v>518</v>
      </c>
      <c r="I81" s="66" t="s">
        <v>244</v>
      </c>
      <c r="J81" s="66" t="s">
        <v>128</v>
      </c>
      <c r="K81" s="66" t="s">
        <v>244</v>
      </c>
      <c r="L81" s="66" t="s">
        <v>350</v>
      </c>
      <c r="M81" s="93">
        <f t="shared" si="10"/>
        <v>61771.8</v>
      </c>
      <c r="N81" s="93">
        <v>100</v>
      </c>
      <c r="O81" s="94">
        <f>377775+239943</f>
        <v>617718</v>
      </c>
      <c r="P81" s="116"/>
      <c r="Q81" s="71"/>
      <c r="R81" s="66"/>
      <c r="S81" s="66" t="s">
        <v>513</v>
      </c>
      <c r="T81" s="66" t="s">
        <v>520</v>
      </c>
      <c r="U81" s="78"/>
      <c r="V81" s="78"/>
      <c r="W81" s="78"/>
      <c r="X81" s="78"/>
      <c r="Y81" s="78"/>
      <c r="Z81" s="78"/>
      <c r="AA81" s="78"/>
      <c r="AB81" s="78"/>
      <c r="AC81" s="78"/>
      <c r="AD81" s="96"/>
      <c r="AE81" s="92"/>
      <c r="AF81" s="92"/>
      <c r="AG81" s="32"/>
    </row>
    <row r="82" spans="2:47">
      <c r="B82" s="113">
        <f t="shared" si="9"/>
        <v>47</v>
      </c>
      <c r="C82" s="64" t="s">
        <v>521</v>
      </c>
      <c r="D82" s="64" t="s">
        <v>522</v>
      </c>
      <c r="E82" s="64"/>
      <c r="F82" s="66">
        <v>366</v>
      </c>
      <c r="G82" s="67">
        <f t="shared" si="7"/>
        <v>10366000</v>
      </c>
      <c r="H82" s="278" t="s">
        <v>521</v>
      </c>
      <c r="I82" s="66" t="s">
        <v>244</v>
      </c>
      <c r="J82" s="66" t="s">
        <v>55</v>
      </c>
      <c r="K82" s="66" t="s">
        <v>244</v>
      </c>
      <c r="L82" s="66" t="s">
        <v>245</v>
      </c>
      <c r="M82" s="93">
        <f t="shared" si="10"/>
        <v>8945.2999999999993</v>
      </c>
      <c r="N82" s="93">
        <f>100/100</f>
        <v>1</v>
      </c>
      <c r="O82" s="94">
        <f>89453*100</f>
        <v>8945300</v>
      </c>
      <c r="P82" s="114"/>
      <c r="Q82" s="71"/>
      <c r="R82" s="94"/>
      <c r="S82" s="94" t="s">
        <v>513</v>
      </c>
      <c r="T82" s="94" t="s">
        <v>523</v>
      </c>
      <c r="U82" s="78">
        <v>64630.8</v>
      </c>
      <c r="V82" s="79">
        <v>36069</v>
      </c>
      <c r="W82" s="78"/>
      <c r="X82" s="79">
        <v>36069</v>
      </c>
      <c r="Y82" s="99">
        <v>56617</v>
      </c>
      <c r="Z82" s="78">
        <v>9315</v>
      </c>
      <c r="AA82" s="78"/>
      <c r="AB82" s="78"/>
      <c r="AC82" s="78"/>
      <c r="AD82" s="96"/>
      <c r="AE82" s="92"/>
      <c r="AF82" s="92"/>
      <c r="AG82" s="32"/>
    </row>
    <row r="83" spans="2:47">
      <c r="B83" s="113">
        <f t="shared" si="9"/>
        <v>48</v>
      </c>
      <c r="C83" s="64" t="s">
        <v>524</v>
      </c>
      <c r="D83" s="65" t="s">
        <v>525</v>
      </c>
      <c r="E83" s="65"/>
      <c r="F83" s="66">
        <v>508</v>
      </c>
      <c r="G83" s="67">
        <f t="shared" si="7"/>
        <v>10508000</v>
      </c>
      <c r="H83" s="278" t="s">
        <v>524</v>
      </c>
      <c r="I83" s="66" t="s">
        <v>244</v>
      </c>
      <c r="J83" s="66" t="s">
        <v>131</v>
      </c>
      <c r="K83" s="66" t="s">
        <v>244</v>
      </c>
      <c r="L83" s="66" t="s">
        <v>233</v>
      </c>
      <c r="M83" s="93">
        <f t="shared" si="10"/>
        <v>1038511.6</v>
      </c>
      <c r="N83" s="93">
        <v>100</v>
      </c>
      <c r="O83" s="131">
        <v>10385116</v>
      </c>
      <c r="P83" s="70"/>
      <c r="Q83" s="71"/>
      <c r="R83" s="72"/>
      <c r="S83" s="73"/>
      <c r="T83" s="73"/>
      <c r="U83" s="36"/>
      <c r="V83" s="36"/>
      <c r="W83" s="36"/>
      <c r="X83" s="74"/>
      <c r="Y83" s="36"/>
      <c r="Z83" s="36"/>
      <c r="AA83" s="36"/>
      <c r="AB83" s="74"/>
      <c r="AC83" s="36"/>
      <c r="AD83" s="75"/>
      <c r="AE83" s="75"/>
      <c r="AF83" s="75"/>
      <c r="AG83" s="32" t="s">
        <v>526</v>
      </c>
      <c r="AI83" s="24" t="s">
        <v>527</v>
      </c>
    </row>
    <row r="84" spans="2:47">
      <c r="B84" s="113">
        <f t="shared" si="9"/>
        <v>49</v>
      </c>
      <c r="C84" s="64" t="s">
        <v>528</v>
      </c>
      <c r="D84" s="64" t="s">
        <v>529</v>
      </c>
      <c r="E84" s="64"/>
      <c r="F84" s="66">
        <v>71</v>
      </c>
      <c r="G84" s="67">
        <f t="shared" si="7"/>
        <v>10071000</v>
      </c>
      <c r="H84" s="278" t="s">
        <v>528</v>
      </c>
      <c r="I84" s="66" t="s">
        <v>244</v>
      </c>
      <c r="J84" s="66" t="s">
        <v>107</v>
      </c>
      <c r="K84" s="66" t="s">
        <v>244</v>
      </c>
      <c r="L84" s="66" t="s">
        <v>350</v>
      </c>
      <c r="M84" s="93">
        <f t="shared" si="10"/>
        <v>110547.9</v>
      </c>
      <c r="N84" s="93">
        <v>100</v>
      </c>
      <c r="O84" s="94">
        <v>1105479</v>
      </c>
      <c r="P84" s="116"/>
      <c r="Q84" s="71"/>
      <c r="R84" s="66"/>
      <c r="S84" s="66" t="s">
        <v>292</v>
      </c>
      <c r="T84" s="66" t="s">
        <v>530</v>
      </c>
      <c r="U84" s="78"/>
      <c r="V84" s="78"/>
      <c r="W84" s="78"/>
      <c r="X84" s="78"/>
      <c r="Y84" s="78"/>
      <c r="Z84" s="78"/>
      <c r="AA84" s="78"/>
      <c r="AB84" s="78"/>
      <c r="AC84" s="78"/>
      <c r="AD84" s="96"/>
      <c r="AE84" s="92"/>
      <c r="AF84" s="92"/>
      <c r="AG84" s="32"/>
    </row>
    <row r="85" spans="2:47">
      <c r="B85" s="113">
        <f t="shared" si="9"/>
        <v>50</v>
      </c>
      <c r="C85" s="64" t="s">
        <v>531</v>
      </c>
      <c r="D85" s="64" t="s">
        <v>532</v>
      </c>
      <c r="E85" s="64"/>
      <c r="F85" s="66">
        <v>254</v>
      </c>
      <c r="G85" s="67">
        <f t="shared" si="7"/>
        <v>10254000</v>
      </c>
      <c r="H85" s="278" t="s">
        <v>531</v>
      </c>
      <c r="I85" s="66" t="s">
        <v>244</v>
      </c>
      <c r="J85" s="66" t="s">
        <v>127</v>
      </c>
      <c r="K85" s="66" t="s">
        <v>244</v>
      </c>
      <c r="L85" s="66" t="s">
        <v>350</v>
      </c>
      <c r="M85" s="93">
        <f t="shared" si="10"/>
        <v>5512.6</v>
      </c>
      <c r="N85" s="93">
        <v>100</v>
      </c>
      <c r="O85" s="94">
        <v>55126</v>
      </c>
      <c r="P85" s="116"/>
      <c r="Q85" s="71"/>
      <c r="R85" s="66"/>
      <c r="S85" s="66" t="s">
        <v>292</v>
      </c>
      <c r="T85" s="66" t="s">
        <v>533</v>
      </c>
      <c r="U85" s="78">
        <v>145087.9</v>
      </c>
      <c r="V85" s="78"/>
      <c r="W85" s="78"/>
      <c r="X85" s="78"/>
      <c r="Y85" s="78"/>
      <c r="Z85" s="78"/>
      <c r="AA85" s="78"/>
      <c r="AB85" s="78"/>
      <c r="AC85" s="78"/>
      <c r="AD85" s="96"/>
      <c r="AE85" s="92"/>
      <c r="AF85" s="92"/>
      <c r="AG85" s="32"/>
    </row>
    <row r="86" spans="2:47">
      <c r="B86" s="113">
        <f t="shared" si="9"/>
        <v>51</v>
      </c>
      <c r="C86" s="64" t="s">
        <v>534</v>
      </c>
      <c r="D86" s="64"/>
      <c r="E86" s="64"/>
      <c r="F86" s="66">
        <v>523</v>
      </c>
      <c r="G86" s="67">
        <f t="shared" si="7"/>
        <v>10523000</v>
      </c>
      <c r="H86" s="278" t="s">
        <v>534</v>
      </c>
      <c r="I86" s="66" t="s">
        <v>345</v>
      </c>
      <c r="J86" s="66" t="s">
        <v>86</v>
      </c>
      <c r="K86" s="66" t="s">
        <v>345</v>
      </c>
      <c r="L86" s="66" t="s">
        <v>233</v>
      </c>
      <c r="M86" s="93">
        <f t="shared" si="10"/>
        <v>7492.2</v>
      </c>
      <c r="N86" s="93">
        <v>100</v>
      </c>
      <c r="O86" s="94">
        <v>74922</v>
      </c>
      <c r="P86" s="115"/>
      <c r="Q86" s="71"/>
      <c r="R86" s="66"/>
      <c r="S86" s="66"/>
      <c r="T86" s="66"/>
      <c r="U86" s="78"/>
      <c r="V86" s="78"/>
      <c r="W86" s="78"/>
      <c r="X86" s="78"/>
      <c r="Y86" s="78"/>
      <c r="Z86" s="78"/>
      <c r="AA86" s="78"/>
      <c r="AB86" s="78"/>
      <c r="AC86" s="78"/>
      <c r="AD86" s="96"/>
      <c r="AE86" s="92"/>
      <c r="AF86" s="92"/>
      <c r="AG86" s="32" t="s">
        <v>535</v>
      </c>
      <c r="AP86" s="32" t="s">
        <v>536</v>
      </c>
      <c r="AQ86" s="32"/>
      <c r="AR86" s="32"/>
      <c r="AS86" s="32"/>
      <c r="AT86" s="32"/>
      <c r="AU86" s="32"/>
    </row>
    <row r="87" spans="2:47">
      <c r="B87" s="113">
        <f t="shared" si="9"/>
        <v>52</v>
      </c>
      <c r="C87" s="64" t="s">
        <v>537</v>
      </c>
      <c r="D87" s="64" t="s">
        <v>538</v>
      </c>
      <c r="E87" s="64"/>
      <c r="F87" s="66">
        <v>132</v>
      </c>
      <c r="G87" s="67">
        <f t="shared" si="7"/>
        <v>10132000</v>
      </c>
      <c r="H87" s="278" t="s">
        <v>537</v>
      </c>
      <c r="I87" s="66" t="s">
        <v>345</v>
      </c>
      <c r="J87" s="66" t="s">
        <v>539</v>
      </c>
      <c r="K87" s="66" t="s">
        <v>345</v>
      </c>
      <c r="L87" s="66" t="s">
        <v>350</v>
      </c>
      <c r="M87" s="93">
        <f t="shared" si="10"/>
        <v>70300</v>
      </c>
      <c r="N87" s="93">
        <v>100</v>
      </c>
      <c r="O87" s="94">
        <v>703000</v>
      </c>
      <c r="P87" s="116"/>
      <c r="Q87" s="71"/>
      <c r="R87" s="66"/>
      <c r="S87" s="66" t="s">
        <v>292</v>
      </c>
      <c r="T87" s="66" t="s">
        <v>492</v>
      </c>
      <c r="U87" s="78"/>
      <c r="V87" s="78"/>
      <c r="W87" s="78"/>
      <c r="X87" s="78"/>
      <c r="Y87" s="78"/>
      <c r="Z87" s="78"/>
      <c r="AA87" s="78"/>
      <c r="AB87" s="78"/>
      <c r="AC87" s="78"/>
      <c r="AD87" s="96"/>
      <c r="AE87" s="92"/>
      <c r="AF87" s="92"/>
      <c r="AG87" s="32"/>
      <c r="AU87" s="24">
        <f>100-90.8</f>
        <v>9.2000000000000028</v>
      </c>
    </row>
    <row r="88" spans="2:47">
      <c r="B88" s="113">
        <f t="shared" si="9"/>
        <v>53</v>
      </c>
      <c r="C88" s="64" t="s">
        <v>540</v>
      </c>
      <c r="D88" s="64" t="s">
        <v>541</v>
      </c>
      <c r="E88" s="64"/>
      <c r="F88" s="66">
        <v>320</v>
      </c>
      <c r="G88" s="67">
        <f t="shared" si="7"/>
        <v>10320000</v>
      </c>
      <c r="H88" s="278" t="s">
        <v>540</v>
      </c>
      <c r="I88" s="66" t="s">
        <v>345</v>
      </c>
      <c r="J88" s="66" t="s">
        <v>136</v>
      </c>
      <c r="K88" s="66" t="s">
        <v>345</v>
      </c>
      <c r="L88" s="66" t="s">
        <v>245</v>
      </c>
      <c r="M88" s="93">
        <f t="shared" si="10"/>
        <v>6416.7</v>
      </c>
      <c r="N88" s="93">
        <v>100</v>
      </c>
      <c r="O88" s="94">
        <v>64167</v>
      </c>
      <c r="P88" s="116"/>
      <c r="Q88" s="71"/>
      <c r="R88" s="94"/>
      <c r="S88" s="94" t="s">
        <v>346</v>
      </c>
      <c r="T88" s="94" t="s">
        <v>542</v>
      </c>
      <c r="U88" s="78"/>
      <c r="V88" s="78"/>
      <c r="W88" s="78"/>
      <c r="X88" s="78"/>
      <c r="Y88" s="78"/>
      <c r="Z88" s="78"/>
      <c r="AA88" s="78">
        <v>32725</v>
      </c>
      <c r="AB88" s="79">
        <v>35769</v>
      </c>
      <c r="AC88" s="78">
        <v>758</v>
      </c>
      <c r="AD88" s="80">
        <v>35828</v>
      </c>
      <c r="AE88" s="75"/>
      <c r="AF88" s="75" t="s">
        <v>543</v>
      </c>
      <c r="AG88" s="32"/>
      <c r="AH88" s="24" t="s">
        <v>544</v>
      </c>
    </row>
    <row r="89" spans="2:47">
      <c r="B89" s="113">
        <f t="shared" si="9"/>
        <v>54</v>
      </c>
      <c r="C89" s="64" t="s">
        <v>545</v>
      </c>
      <c r="D89" s="64" t="s">
        <v>546</v>
      </c>
      <c r="E89" s="64"/>
      <c r="F89" s="66">
        <v>311</v>
      </c>
      <c r="G89" s="67">
        <f t="shared" si="7"/>
        <v>10311000</v>
      </c>
      <c r="H89" s="278" t="s">
        <v>545</v>
      </c>
      <c r="I89" s="66" t="s">
        <v>345</v>
      </c>
      <c r="J89" s="66" t="s">
        <v>135</v>
      </c>
      <c r="K89" s="66" t="s">
        <v>345</v>
      </c>
      <c r="L89" s="66" t="s">
        <v>245</v>
      </c>
      <c r="M89" s="93">
        <f t="shared" si="10"/>
        <v>7396.9</v>
      </c>
      <c r="N89" s="93">
        <v>100</v>
      </c>
      <c r="O89" s="94">
        <v>73969</v>
      </c>
      <c r="P89" s="114"/>
      <c r="Q89" s="71"/>
      <c r="R89" s="94"/>
      <c r="S89" s="94" t="s">
        <v>346</v>
      </c>
      <c r="T89" s="94" t="s">
        <v>547</v>
      </c>
      <c r="U89" s="78">
        <v>58330.9</v>
      </c>
      <c r="V89" s="79">
        <v>35740</v>
      </c>
      <c r="W89" s="78" t="s">
        <v>240</v>
      </c>
      <c r="X89" s="78"/>
      <c r="Y89" s="78"/>
      <c r="Z89" s="78"/>
      <c r="AA89" s="78">
        <v>37224</v>
      </c>
      <c r="AB89" s="79">
        <v>36042</v>
      </c>
      <c r="AC89" s="78">
        <v>628</v>
      </c>
      <c r="AD89" s="80">
        <v>36052</v>
      </c>
      <c r="AE89" s="75"/>
      <c r="AF89" s="75"/>
      <c r="AG89" s="32"/>
    </row>
    <row r="90" spans="2:47">
      <c r="B90" s="113">
        <f t="shared" si="9"/>
        <v>55</v>
      </c>
      <c r="C90" s="64" t="s">
        <v>548</v>
      </c>
      <c r="D90" s="64" t="s">
        <v>549</v>
      </c>
      <c r="E90" s="64"/>
      <c r="F90" s="66">
        <v>21</v>
      </c>
      <c r="G90" s="67">
        <f t="shared" si="7"/>
        <v>10021000</v>
      </c>
      <c r="H90" s="278" t="s">
        <v>548</v>
      </c>
      <c r="I90" s="66" t="s">
        <v>232</v>
      </c>
      <c r="J90" s="66" t="s">
        <v>138</v>
      </c>
      <c r="K90" s="66" t="s">
        <v>232</v>
      </c>
      <c r="L90" s="66" t="s">
        <v>350</v>
      </c>
      <c r="M90" s="93">
        <f t="shared" si="10"/>
        <v>30381.200000000001</v>
      </c>
      <c r="N90" s="93">
        <v>100</v>
      </c>
      <c r="O90" s="94">
        <f>186412+117400</f>
        <v>303812</v>
      </c>
      <c r="P90" s="116"/>
      <c r="Q90" s="71"/>
      <c r="R90" s="66"/>
      <c r="S90" s="66" t="s">
        <v>292</v>
      </c>
      <c r="T90" s="66" t="s">
        <v>450</v>
      </c>
      <c r="U90" s="78"/>
      <c r="V90" s="78"/>
      <c r="W90" s="78" t="s">
        <v>240</v>
      </c>
      <c r="X90" s="78"/>
      <c r="Y90" s="78"/>
      <c r="Z90" s="78"/>
      <c r="AA90" s="78"/>
      <c r="AB90" s="78"/>
      <c r="AC90" s="78"/>
      <c r="AD90" s="96"/>
      <c r="AE90" s="92"/>
      <c r="AF90" s="92"/>
      <c r="AG90" s="32"/>
    </row>
    <row r="91" spans="2:47">
      <c r="B91" s="113">
        <f t="shared" si="9"/>
        <v>56</v>
      </c>
      <c r="C91" s="64" t="s">
        <v>550</v>
      </c>
      <c r="D91" s="64" t="s">
        <v>551</v>
      </c>
      <c r="E91" s="64"/>
      <c r="F91" s="66">
        <v>300</v>
      </c>
      <c r="G91" s="67">
        <f t="shared" si="7"/>
        <v>10300000</v>
      </c>
      <c r="H91" s="278" t="s">
        <v>550</v>
      </c>
      <c r="I91" s="66" t="s">
        <v>552</v>
      </c>
      <c r="J91" s="66" t="s">
        <v>133</v>
      </c>
      <c r="K91" s="66" t="s">
        <v>552</v>
      </c>
      <c r="L91" s="66" t="s">
        <v>259</v>
      </c>
      <c r="M91" s="93">
        <f t="shared" si="10"/>
        <v>7042</v>
      </c>
      <c r="N91" s="93">
        <v>100</v>
      </c>
      <c r="O91" s="94">
        <v>70420</v>
      </c>
      <c r="P91" s="116"/>
      <c r="Q91" s="71"/>
      <c r="R91" s="66"/>
      <c r="S91" s="66" t="s">
        <v>553</v>
      </c>
      <c r="T91" s="66" t="s">
        <v>554</v>
      </c>
      <c r="U91" s="78"/>
      <c r="V91" s="78"/>
      <c r="W91" s="78"/>
      <c r="X91" s="78"/>
      <c r="Y91" s="78"/>
      <c r="Z91" s="78"/>
      <c r="AA91" s="78"/>
      <c r="AB91" s="78"/>
      <c r="AC91" s="78"/>
      <c r="AD91" s="96"/>
      <c r="AE91" s="92"/>
      <c r="AF91" s="92"/>
      <c r="AG91" s="32"/>
    </row>
    <row r="92" spans="2:47">
      <c r="B92" s="113">
        <f t="shared" si="9"/>
        <v>57</v>
      </c>
      <c r="C92" s="64" t="s">
        <v>555</v>
      </c>
      <c r="D92" s="64" t="s">
        <v>556</v>
      </c>
      <c r="E92" s="64"/>
      <c r="F92" s="138">
        <v>246</v>
      </c>
      <c r="G92" s="67">
        <f t="shared" si="7"/>
        <v>10246000</v>
      </c>
      <c r="H92" s="278" t="s">
        <v>555</v>
      </c>
      <c r="I92" s="138" t="s">
        <v>232</v>
      </c>
      <c r="J92" s="138" t="s">
        <v>46</v>
      </c>
      <c r="K92" s="138" t="s">
        <v>232</v>
      </c>
      <c r="L92" s="138" t="s">
        <v>380</v>
      </c>
      <c r="M92" s="93">
        <f t="shared" si="10"/>
        <v>5227089.2</v>
      </c>
      <c r="N92" s="93">
        <v>100</v>
      </c>
      <c r="O92" s="139">
        <f>75874+2195018+50000000</f>
        <v>52270892</v>
      </c>
      <c r="P92" s="114"/>
      <c r="Q92" s="71"/>
      <c r="R92" s="94"/>
      <c r="S92" s="94" t="s">
        <v>423</v>
      </c>
      <c r="T92" s="94" t="s">
        <v>557</v>
      </c>
      <c r="U92" s="78"/>
      <c r="V92" s="78"/>
      <c r="W92" s="78"/>
      <c r="X92" s="78"/>
      <c r="Y92" s="78"/>
      <c r="Z92" s="78"/>
      <c r="AA92" s="78">
        <v>15175</v>
      </c>
      <c r="AB92" s="96" t="s">
        <v>558</v>
      </c>
      <c r="AC92" s="78"/>
      <c r="AD92" s="80">
        <v>36214</v>
      </c>
      <c r="AE92" s="75"/>
      <c r="AF92" s="75"/>
      <c r="AG92" s="32"/>
    </row>
    <row r="93" spans="2:47">
      <c r="B93" s="113">
        <f t="shared" si="9"/>
        <v>58</v>
      </c>
      <c r="C93" s="64" t="s">
        <v>559</v>
      </c>
      <c r="D93" s="64" t="s">
        <v>560</v>
      </c>
      <c r="E93" s="64"/>
      <c r="F93" s="66">
        <v>408</v>
      </c>
      <c r="G93" s="67">
        <f t="shared" si="7"/>
        <v>10408000</v>
      </c>
      <c r="H93" s="278" t="s">
        <v>559</v>
      </c>
      <c r="I93" s="66" t="s">
        <v>436</v>
      </c>
      <c r="J93" s="66" t="s">
        <v>159</v>
      </c>
      <c r="K93" s="66" t="s">
        <v>436</v>
      </c>
      <c r="L93" s="66" t="s">
        <v>380</v>
      </c>
      <c r="M93" s="93">
        <f t="shared" si="10"/>
        <v>5854.3</v>
      </c>
      <c r="N93" s="93">
        <v>100</v>
      </c>
      <c r="O93" s="94">
        <v>58543</v>
      </c>
      <c r="P93" s="116"/>
      <c r="Q93" s="71"/>
      <c r="R93" s="66"/>
      <c r="S93" s="66" t="s">
        <v>496</v>
      </c>
      <c r="T93" s="66" t="s">
        <v>561</v>
      </c>
      <c r="U93" s="78"/>
      <c r="V93" s="78"/>
      <c r="W93" s="78"/>
      <c r="X93" s="78"/>
      <c r="Y93" s="78"/>
      <c r="Z93" s="78"/>
      <c r="AA93" s="78"/>
      <c r="AB93" s="78"/>
      <c r="AC93" s="78"/>
      <c r="AD93" s="96"/>
      <c r="AE93" s="92"/>
      <c r="AF93" s="92"/>
      <c r="AG93" s="32"/>
    </row>
    <row r="94" spans="2:47">
      <c r="B94" s="113">
        <f t="shared" si="9"/>
        <v>59</v>
      </c>
      <c r="C94" s="64" t="s">
        <v>562</v>
      </c>
      <c r="D94" s="64" t="s">
        <v>563</v>
      </c>
      <c r="E94" s="64"/>
      <c r="F94" s="66">
        <v>326</v>
      </c>
      <c r="G94" s="67">
        <f t="shared" si="7"/>
        <v>10326000</v>
      </c>
      <c r="H94" s="278" t="s">
        <v>562</v>
      </c>
      <c r="I94" s="66" t="s">
        <v>503</v>
      </c>
      <c r="J94" s="66" t="s">
        <v>160</v>
      </c>
      <c r="K94" s="66" t="s">
        <v>503</v>
      </c>
      <c r="L94" s="66" t="s">
        <v>380</v>
      </c>
      <c r="M94" s="93">
        <f t="shared" si="10"/>
        <v>28614263</v>
      </c>
      <c r="N94" s="93">
        <f>100*10</f>
        <v>1000</v>
      </c>
      <c r="O94" s="94">
        <f>53223+1612715+26948325</f>
        <v>28614263</v>
      </c>
      <c r="P94" s="116"/>
      <c r="Q94" s="71"/>
      <c r="R94" s="66"/>
      <c r="S94" s="66" t="s">
        <v>504</v>
      </c>
      <c r="T94" s="66" t="s">
        <v>564</v>
      </c>
      <c r="U94" s="78"/>
      <c r="V94" s="78"/>
      <c r="W94" s="78"/>
      <c r="X94" s="78"/>
      <c r="Y94" s="78"/>
      <c r="Z94" s="78"/>
      <c r="AA94" s="78"/>
      <c r="AB94" s="78"/>
      <c r="AC94" s="78"/>
      <c r="AD94" s="96"/>
      <c r="AE94" s="92"/>
      <c r="AF94" s="92"/>
      <c r="AG94" s="32"/>
    </row>
    <row r="95" spans="2:47" ht="9.75" customHeight="1">
      <c r="B95" s="113">
        <f t="shared" si="9"/>
        <v>60</v>
      </c>
      <c r="C95" s="64" t="s">
        <v>565</v>
      </c>
      <c r="D95" s="64" t="s">
        <v>566</v>
      </c>
      <c r="E95" s="64"/>
      <c r="F95" s="66">
        <v>61</v>
      </c>
      <c r="G95" s="67">
        <f t="shared" si="7"/>
        <v>10061000</v>
      </c>
      <c r="H95" s="278" t="s">
        <v>565</v>
      </c>
      <c r="I95" s="66" t="s">
        <v>262</v>
      </c>
      <c r="J95" s="66" t="s">
        <v>161</v>
      </c>
      <c r="K95" s="66" t="s">
        <v>262</v>
      </c>
      <c r="L95" s="66" t="s">
        <v>245</v>
      </c>
      <c r="M95" s="93">
        <f t="shared" si="10"/>
        <v>7416.9</v>
      </c>
      <c r="N95" s="93">
        <v>100</v>
      </c>
      <c r="O95" s="94">
        <v>74169</v>
      </c>
      <c r="P95" s="116"/>
      <c r="Q95" s="71"/>
      <c r="R95" s="66"/>
      <c r="S95" s="66" t="s">
        <v>292</v>
      </c>
      <c r="T95" s="66" t="s">
        <v>450</v>
      </c>
      <c r="U95" s="78"/>
      <c r="V95" s="78"/>
      <c r="W95" s="78"/>
      <c r="X95" s="78"/>
      <c r="Y95" s="78"/>
      <c r="Z95" s="78"/>
      <c r="AA95" s="78"/>
      <c r="AB95" s="78"/>
      <c r="AC95" s="78"/>
      <c r="AD95" s="96"/>
      <c r="AE95" s="92"/>
      <c r="AF95" s="92"/>
      <c r="AG95" s="32"/>
    </row>
    <row r="96" spans="2:47">
      <c r="B96" s="113">
        <f t="shared" si="9"/>
        <v>61</v>
      </c>
      <c r="C96" s="64" t="s">
        <v>567</v>
      </c>
      <c r="D96" s="64" t="s">
        <v>568</v>
      </c>
      <c r="E96" s="64"/>
      <c r="F96" s="66">
        <v>34</v>
      </c>
      <c r="G96" s="67">
        <f t="shared" si="7"/>
        <v>10034000</v>
      </c>
      <c r="H96" s="278" t="s">
        <v>567</v>
      </c>
      <c r="I96" s="66" t="s">
        <v>232</v>
      </c>
      <c r="J96" s="66" t="s">
        <v>52</v>
      </c>
      <c r="K96" s="66" t="s">
        <v>232</v>
      </c>
      <c r="L96" s="66" t="s">
        <v>350</v>
      </c>
      <c r="M96" s="93">
        <f t="shared" si="10"/>
        <v>6536.2</v>
      </c>
      <c r="N96" s="93">
        <v>100</v>
      </c>
      <c r="O96" s="94">
        <f>181201-115839</f>
        <v>65362</v>
      </c>
      <c r="P96" s="116"/>
      <c r="Q96" s="71"/>
      <c r="R96" s="66"/>
      <c r="S96" s="66" t="s">
        <v>292</v>
      </c>
      <c r="T96" s="66" t="s">
        <v>569</v>
      </c>
      <c r="U96" s="78"/>
      <c r="V96" s="78"/>
      <c r="W96" s="78"/>
      <c r="X96" s="78"/>
      <c r="Y96" s="78"/>
      <c r="Z96" s="78"/>
      <c r="AA96" s="78"/>
      <c r="AB96" s="78"/>
      <c r="AC96" s="78"/>
      <c r="AD96" s="96"/>
      <c r="AE96" s="92"/>
      <c r="AF96" s="106" t="s">
        <v>570</v>
      </c>
      <c r="AG96" s="32"/>
    </row>
    <row r="97" spans="2:37">
      <c r="B97" s="113">
        <f t="shared" si="9"/>
        <v>62</v>
      </c>
      <c r="C97" s="64" t="s">
        <v>571</v>
      </c>
      <c r="D97" s="78" t="s">
        <v>572</v>
      </c>
      <c r="E97" s="78"/>
      <c r="F97" s="66">
        <v>521</v>
      </c>
      <c r="G97" s="67">
        <f t="shared" si="7"/>
        <v>10521000</v>
      </c>
      <c r="H97" s="279" t="s">
        <v>571</v>
      </c>
      <c r="I97" s="140" t="s">
        <v>232</v>
      </c>
      <c r="J97" s="78" t="s">
        <v>85</v>
      </c>
      <c r="K97" s="140" t="s">
        <v>232</v>
      </c>
      <c r="L97" s="66" t="s">
        <v>245</v>
      </c>
      <c r="M97" s="93">
        <f t="shared" si="10"/>
        <v>10000000</v>
      </c>
      <c r="N97" s="93">
        <v>100</v>
      </c>
      <c r="O97" s="131">
        <v>100000000</v>
      </c>
      <c r="P97" s="78"/>
      <c r="Q97" s="71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6" t="s">
        <v>573</v>
      </c>
      <c r="AI97" s="24" t="s">
        <v>574</v>
      </c>
    </row>
    <row r="98" spans="2:37">
      <c r="B98" s="113">
        <f t="shared" si="9"/>
        <v>63</v>
      </c>
      <c r="C98" s="64" t="s">
        <v>575</v>
      </c>
      <c r="D98" s="64" t="s">
        <v>576</v>
      </c>
      <c r="E98" s="64"/>
      <c r="F98" s="66">
        <v>204</v>
      </c>
      <c r="G98" s="67">
        <f t="shared" si="7"/>
        <v>10204000</v>
      </c>
      <c r="H98" s="278" t="s">
        <v>575</v>
      </c>
      <c r="I98" s="66" t="s">
        <v>406</v>
      </c>
      <c r="J98" s="66" t="s">
        <v>40</v>
      </c>
      <c r="K98" s="66" t="s">
        <v>406</v>
      </c>
      <c r="L98" s="66" t="s">
        <v>350</v>
      </c>
      <c r="M98" s="93">
        <f t="shared" si="10"/>
        <v>5633.8</v>
      </c>
      <c r="N98" s="93">
        <v>100</v>
      </c>
      <c r="O98" s="94">
        <v>56338</v>
      </c>
      <c r="P98" s="114"/>
      <c r="Q98" s="71"/>
      <c r="R98" s="94"/>
      <c r="S98" s="94" t="s">
        <v>407</v>
      </c>
      <c r="T98" s="94" t="s">
        <v>577</v>
      </c>
      <c r="U98" s="78"/>
      <c r="V98" s="78"/>
      <c r="W98" s="78"/>
      <c r="X98" s="78"/>
      <c r="Y98" s="78"/>
      <c r="Z98" s="78"/>
      <c r="AA98" s="78">
        <v>28732</v>
      </c>
      <c r="AB98" s="79">
        <v>36061</v>
      </c>
      <c r="AC98" s="78">
        <v>648</v>
      </c>
      <c r="AD98" s="79">
        <v>36066</v>
      </c>
      <c r="AE98" s="74"/>
      <c r="AF98" s="74"/>
      <c r="AG98" s="32"/>
    </row>
    <row r="99" spans="2:37">
      <c r="B99" s="113">
        <f t="shared" si="9"/>
        <v>64</v>
      </c>
      <c r="C99" s="64" t="s">
        <v>578</v>
      </c>
      <c r="D99" s="64" t="s">
        <v>579</v>
      </c>
      <c r="F99" s="66">
        <v>520</v>
      </c>
      <c r="G99" s="67">
        <v>10520000</v>
      </c>
      <c r="H99" s="278" t="s">
        <v>578</v>
      </c>
      <c r="I99" s="66" t="s">
        <v>232</v>
      </c>
      <c r="J99" s="66" t="s">
        <v>580</v>
      </c>
      <c r="K99" s="66" t="s">
        <v>232</v>
      </c>
      <c r="L99" s="66" t="s">
        <v>245</v>
      </c>
      <c r="M99" s="93">
        <v>14666703</v>
      </c>
      <c r="N99" s="93">
        <v>1000</v>
      </c>
      <c r="O99" s="94">
        <v>14666703</v>
      </c>
      <c r="P99" s="114"/>
      <c r="Q99" s="71"/>
      <c r="R99" s="94"/>
      <c r="S99" s="94"/>
      <c r="T99" s="94"/>
      <c r="U99" s="78"/>
      <c r="V99" s="78"/>
      <c r="W99" s="78"/>
      <c r="X99" s="78"/>
      <c r="Y99" s="78"/>
      <c r="Z99" s="78"/>
      <c r="AA99" s="78"/>
      <c r="AB99" s="79"/>
      <c r="AC99" s="95"/>
      <c r="AD99" s="79"/>
      <c r="AE99" s="74"/>
      <c r="AF99" s="74"/>
      <c r="AG99" s="32"/>
      <c r="AI99" s="24" t="s">
        <v>581</v>
      </c>
      <c r="AK99" s="24" t="s">
        <v>582</v>
      </c>
    </row>
    <row r="100" spans="2:37">
      <c r="B100" s="113">
        <f t="shared" si="9"/>
        <v>65</v>
      </c>
      <c r="C100" s="64" t="s">
        <v>583</v>
      </c>
      <c r="D100" s="64" t="s">
        <v>584</v>
      </c>
      <c r="E100" s="64"/>
      <c r="F100" s="66">
        <v>329</v>
      </c>
      <c r="G100" s="67">
        <f t="shared" ref="G100:G163" si="11">10000000+F100*1000</f>
        <v>10329000</v>
      </c>
      <c r="H100" s="278" t="s">
        <v>583</v>
      </c>
      <c r="I100" s="66" t="s">
        <v>453</v>
      </c>
      <c r="J100" s="66" t="s">
        <v>158</v>
      </c>
      <c r="K100" s="66" t="s">
        <v>453</v>
      </c>
      <c r="L100" s="66" t="s">
        <v>380</v>
      </c>
      <c r="M100" s="93">
        <f t="shared" ref="M100:M105" si="12">O100*N100/1000</f>
        <v>62438.3</v>
      </c>
      <c r="N100" s="93">
        <v>100</v>
      </c>
      <c r="O100" s="94">
        <v>624383</v>
      </c>
      <c r="P100" s="114"/>
      <c r="Q100" s="71"/>
      <c r="R100" s="94" t="s">
        <v>454</v>
      </c>
      <c r="S100" s="94" t="s">
        <v>454</v>
      </c>
      <c r="T100" s="94" t="s">
        <v>585</v>
      </c>
      <c r="U100" s="78"/>
      <c r="V100" s="78"/>
      <c r="W100" s="78"/>
      <c r="X100" s="78"/>
      <c r="Y100" s="78"/>
      <c r="Z100" s="78"/>
      <c r="AA100" s="78"/>
      <c r="AB100" s="78"/>
      <c r="AC100" s="95"/>
      <c r="AD100" s="96"/>
      <c r="AE100" s="92"/>
      <c r="AF100" s="92"/>
      <c r="AG100" s="32" t="s">
        <v>586</v>
      </c>
      <c r="AI100" s="24" t="s">
        <v>587</v>
      </c>
    </row>
    <row r="101" spans="2:37">
      <c r="B101" s="113">
        <f t="shared" ref="B101:B164" si="13">B100+1</f>
        <v>66</v>
      </c>
      <c r="C101" s="64" t="s">
        <v>588</v>
      </c>
      <c r="D101" s="64" t="s">
        <v>589</v>
      </c>
      <c r="E101" s="64"/>
      <c r="F101" s="66">
        <v>459</v>
      </c>
      <c r="G101" s="67">
        <f t="shared" si="11"/>
        <v>10459000</v>
      </c>
      <c r="H101" s="278" t="s">
        <v>588</v>
      </c>
      <c r="I101" s="66" t="s">
        <v>503</v>
      </c>
      <c r="J101" s="66" t="s">
        <v>157</v>
      </c>
      <c r="K101" s="66" t="s">
        <v>503</v>
      </c>
      <c r="L101" s="66" t="s">
        <v>233</v>
      </c>
      <c r="M101" s="93">
        <f t="shared" si="12"/>
        <v>39708.5</v>
      </c>
      <c r="N101" s="93">
        <v>100</v>
      </c>
      <c r="O101" s="94">
        <v>397085</v>
      </c>
      <c r="P101" s="116"/>
      <c r="Q101" s="71"/>
      <c r="R101" s="94"/>
      <c r="S101" s="94" t="s">
        <v>504</v>
      </c>
      <c r="T101" s="94" t="s">
        <v>329</v>
      </c>
      <c r="U101" s="78"/>
      <c r="V101" s="78"/>
      <c r="W101" s="78"/>
      <c r="X101" s="78"/>
      <c r="Y101" s="78"/>
      <c r="Z101" s="78"/>
      <c r="AA101" s="78">
        <v>202513</v>
      </c>
      <c r="AB101" s="79">
        <v>35755</v>
      </c>
      <c r="AC101" s="78">
        <v>709</v>
      </c>
      <c r="AD101" s="80">
        <v>35818</v>
      </c>
      <c r="AE101" s="75"/>
      <c r="AF101" s="75"/>
      <c r="AG101" s="32"/>
    </row>
    <row r="102" spans="2:37">
      <c r="B102" s="113">
        <f t="shared" si="13"/>
        <v>67</v>
      </c>
      <c r="C102" s="64" t="s">
        <v>590</v>
      </c>
      <c r="D102" s="64" t="s">
        <v>591</v>
      </c>
      <c r="E102" s="64"/>
      <c r="F102" s="66">
        <v>553</v>
      </c>
      <c r="G102" s="67">
        <f t="shared" si="11"/>
        <v>10553000</v>
      </c>
      <c r="H102" s="278" t="s">
        <v>590</v>
      </c>
      <c r="I102" s="66" t="s">
        <v>232</v>
      </c>
      <c r="J102" s="66" t="s">
        <v>103</v>
      </c>
      <c r="K102" s="66" t="s">
        <v>232</v>
      </c>
      <c r="L102" s="66"/>
      <c r="M102" s="93">
        <f t="shared" si="12"/>
        <v>16282237.386</v>
      </c>
      <c r="N102" s="93">
        <v>227</v>
      </c>
      <c r="O102" s="94">
        <v>71727918</v>
      </c>
      <c r="P102" s="116"/>
      <c r="Q102" s="71"/>
      <c r="R102" s="94"/>
      <c r="S102" s="94"/>
      <c r="T102" s="94"/>
      <c r="U102" s="78"/>
      <c r="V102" s="78"/>
      <c r="W102" s="78"/>
      <c r="X102" s="78"/>
      <c r="Y102" s="78"/>
      <c r="Z102" s="78"/>
      <c r="AA102" s="78"/>
      <c r="AB102" s="79"/>
      <c r="AC102" s="78"/>
      <c r="AD102" s="80"/>
      <c r="AE102" s="75"/>
      <c r="AF102" s="75"/>
      <c r="AG102" s="32"/>
    </row>
    <row r="103" spans="2:37">
      <c r="B103" s="113">
        <f t="shared" si="13"/>
        <v>68</v>
      </c>
      <c r="C103" s="64" t="s">
        <v>592</v>
      </c>
      <c r="D103" s="64" t="s">
        <v>591</v>
      </c>
      <c r="E103" s="64"/>
      <c r="F103" s="66">
        <v>545</v>
      </c>
      <c r="G103" s="67">
        <f t="shared" si="11"/>
        <v>10545000</v>
      </c>
      <c r="H103" s="278" t="s">
        <v>592</v>
      </c>
      <c r="I103" s="66" t="s">
        <v>232</v>
      </c>
      <c r="J103" s="66" t="s">
        <v>98</v>
      </c>
      <c r="K103" s="66" t="s">
        <v>232</v>
      </c>
      <c r="L103" s="66"/>
      <c r="M103" s="93">
        <f t="shared" si="12"/>
        <v>8000000</v>
      </c>
      <c r="N103" s="93">
        <v>10</v>
      </c>
      <c r="O103" s="94">
        <v>800000000</v>
      </c>
      <c r="P103" s="116"/>
      <c r="Q103" s="71"/>
      <c r="R103" s="94"/>
      <c r="S103" s="94"/>
      <c r="T103" s="94"/>
      <c r="U103" s="78"/>
      <c r="V103" s="78"/>
      <c r="W103" s="78"/>
      <c r="X103" s="78"/>
      <c r="Y103" s="78"/>
      <c r="Z103" s="78"/>
      <c r="AA103" s="78"/>
      <c r="AB103" s="79"/>
      <c r="AC103" s="78"/>
      <c r="AD103" s="80"/>
      <c r="AE103" s="75"/>
      <c r="AF103" s="75"/>
      <c r="AG103" s="32"/>
    </row>
    <row r="104" spans="2:37">
      <c r="B104" s="113">
        <f t="shared" si="13"/>
        <v>69</v>
      </c>
      <c r="C104" s="64" t="s">
        <v>593</v>
      </c>
      <c r="D104" s="64" t="s">
        <v>594</v>
      </c>
      <c r="E104" s="64"/>
      <c r="F104" s="66">
        <v>136</v>
      </c>
      <c r="G104" s="67">
        <f t="shared" si="11"/>
        <v>10136000</v>
      </c>
      <c r="H104" s="278" t="s">
        <v>593</v>
      </c>
      <c r="I104" s="66" t="s">
        <v>232</v>
      </c>
      <c r="J104" s="66" t="s">
        <v>134</v>
      </c>
      <c r="K104" s="66" t="s">
        <v>232</v>
      </c>
      <c r="L104" s="66" t="s">
        <v>233</v>
      </c>
      <c r="M104" s="93">
        <f t="shared" si="12"/>
        <v>8287.1</v>
      </c>
      <c r="N104" s="93">
        <v>100</v>
      </c>
      <c r="O104" s="94">
        <v>82871</v>
      </c>
      <c r="P104" s="116"/>
      <c r="Q104" s="71"/>
      <c r="R104" s="66"/>
      <c r="S104" s="66" t="s">
        <v>292</v>
      </c>
      <c r="T104" s="66" t="s">
        <v>595</v>
      </c>
      <c r="U104" s="78"/>
      <c r="V104" s="78"/>
      <c r="W104" s="78"/>
      <c r="X104" s="78"/>
      <c r="Y104" s="78"/>
      <c r="Z104" s="78"/>
      <c r="AA104" s="78"/>
      <c r="AB104" s="78"/>
      <c r="AC104" s="78"/>
      <c r="AD104" s="96"/>
      <c r="AE104" s="92"/>
      <c r="AF104" s="92"/>
      <c r="AG104" s="32"/>
    </row>
    <row r="105" spans="2:37">
      <c r="B105" s="113">
        <f t="shared" si="13"/>
        <v>70</v>
      </c>
      <c r="C105" s="64" t="s">
        <v>596</v>
      </c>
      <c r="D105" s="64" t="s">
        <v>597</v>
      </c>
      <c r="E105" s="64"/>
      <c r="F105" s="66">
        <v>80</v>
      </c>
      <c r="G105" s="67">
        <f t="shared" si="11"/>
        <v>10080000</v>
      </c>
      <c r="H105" s="278" t="s">
        <v>596</v>
      </c>
      <c r="I105" s="66" t="s">
        <v>552</v>
      </c>
      <c r="J105" s="66" t="s">
        <v>163</v>
      </c>
      <c r="K105" s="66" t="s">
        <v>552</v>
      </c>
      <c r="L105" s="66" t="s">
        <v>233</v>
      </c>
      <c r="M105" s="93">
        <f t="shared" si="12"/>
        <v>7137.1</v>
      </c>
      <c r="N105" s="93">
        <v>100</v>
      </c>
      <c r="O105" s="94">
        <v>71371</v>
      </c>
      <c r="P105" s="116"/>
      <c r="Q105" s="71"/>
      <c r="R105" s="66"/>
      <c r="S105" s="66" t="s">
        <v>553</v>
      </c>
      <c r="T105" s="66" t="s">
        <v>598</v>
      </c>
      <c r="U105" s="78"/>
      <c r="V105" s="78"/>
      <c r="W105" s="78"/>
      <c r="X105" s="78"/>
      <c r="Y105" s="78"/>
      <c r="Z105" s="78"/>
      <c r="AA105" s="78"/>
      <c r="AB105" s="78"/>
      <c r="AC105" s="78"/>
      <c r="AD105" s="96"/>
      <c r="AE105" s="92"/>
      <c r="AF105" s="92"/>
      <c r="AG105" s="32"/>
    </row>
    <row r="106" spans="2:37">
      <c r="B106" s="113">
        <f t="shared" si="13"/>
        <v>71</v>
      </c>
      <c r="C106" s="64" t="s">
        <v>599</v>
      </c>
      <c r="D106" s="64" t="s">
        <v>600</v>
      </c>
      <c r="E106" s="64" t="s">
        <v>372</v>
      </c>
      <c r="F106" s="66">
        <v>547</v>
      </c>
      <c r="G106" s="67">
        <f t="shared" si="11"/>
        <v>10547000</v>
      </c>
      <c r="H106" s="278" t="s">
        <v>599</v>
      </c>
      <c r="I106" s="66" t="s">
        <v>232</v>
      </c>
      <c r="J106" s="66" t="s">
        <v>99</v>
      </c>
      <c r="K106" s="66" t="s">
        <v>232</v>
      </c>
      <c r="L106" s="66" t="s">
        <v>245</v>
      </c>
      <c r="M106" s="93">
        <f>O106*N106</f>
        <v>6243016000</v>
      </c>
      <c r="N106" s="93">
        <v>1000</v>
      </c>
      <c r="O106" s="94">
        <v>6243016</v>
      </c>
      <c r="P106" s="116"/>
      <c r="Q106" s="71"/>
      <c r="R106" s="66"/>
      <c r="S106" s="66"/>
      <c r="T106" s="66" t="s">
        <v>601</v>
      </c>
      <c r="U106" s="78"/>
      <c r="V106" s="78"/>
      <c r="W106" s="78"/>
      <c r="X106" s="78"/>
      <c r="Y106" s="78"/>
      <c r="Z106" s="78"/>
      <c r="AA106" s="78"/>
      <c r="AB106" s="78"/>
      <c r="AC106" s="78"/>
      <c r="AD106" s="96"/>
      <c r="AE106" s="92"/>
      <c r="AF106" s="92"/>
      <c r="AG106" s="32"/>
    </row>
    <row r="107" spans="2:37">
      <c r="B107" s="113">
        <f t="shared" si="13"/>
        <v>72</v>
      </c>
      <c r="C107" s="64" t="s">
        <v>602</v>
      </c>
      <c r="D107" s="64" t="s">
        <v>603</v>
      </c>
      <c r="E107" s="64"/>
      <c r="F107" s="66">
        <v>208</v>
      </c>
      <c r="G107" s="67">
        <f t="shared" si="11"/>
        <v>10208000</v>
      </c>
      <c r="H107" s="278" t="s">
        <v>602</v>
      </c>
      <c r="I107" s="66" t="s">
        <v>232</v>
      </c>
      <c r="J107" s="66" t="s">
        <v>41</v>
      </c>
      <c r="K107" s="66" t="s">
        <v>232</v>
      </c>
      <c r="L107" s="66" t="s">
        <v>350</v>
      </c>
      <c r="M107" s="93">
        <f t="shared" ref="M107:M170" si="14">O107*N107/1000</f>
        <v>380072.1</v>
      </c>
      <c r="N107" s="93">
        <v>100</v>
      </c>
      <c r="O107" s="94">
        <v>3800721</v>
      </c>
      <c r="P107" s="114"/>
      <c r="Q107" s="71"/>
      <c r="R107" s="94"/>
      <c r="S107" s="94" t="s">
        <v>292</v>
      </c>
      <c r="T107" s="94" t="s">
        <v>604</v>
      </c>
      <c r="U107" s="78"/>
      <c r="V107" s="78"/>
      <c r="W107" s="78"/>
      <c r="X107" s="78"/>
      <c r="Y107" s="78"/>
      <c r="Z107" s="78"/>
      <c r="AA107" s="78"/>
      <c r="AB107" s="78"/>
      <c r="AC107" s="78"/>
      <c r="AD107" s="96"/>
      <c r="AE107" s="92"/>
      <c r="AF107" s="92"/>
      <c r="AG107" s="32"/>
    </row>
    <row r="108" spans="2:37">
      <c r="B108" s="113">
        <f t="shared" si="13"/>
        <v>73</v>
      </c>
      <c r="C108" s="64" t="s">
        <v>605</v>
      </c>
      <c r="D108" s="64" t="s">
        <v>606</v>
      </c>
      <c r="E108" s="64"/>
      <c r="F108" s="66">
        <v>379</v>
      </c>
      <c r="G108" s="67">
        <f t="shared" si="11"/>
        <v>10379000</v>
      </c>
      <c r="H108" s="278" t="s">
        <v>605</v>
      </c>
      <c r="I108" s="66" t="s">
        <v>232</v>
      </c>
      <c r="J108" s="66" t="s">
        <v>58</v>
      </c>
      <c r="K108" s="66" t="s">
        <v>232</v>
      </c>
      <c r="L108" s="66" t="s">
        <v>245</v>
      </c>
      <c r="M108" s="93">
        <f t="shared" si="14"/>
        <v>136820.6</v>
      </c>
      <c r="N108" s="93">
        <v>100</v>
      </c>
      <c r="O108" s="94">
        <v>1368206</v>
      </c>
      <c r="P108" s="114"/>
      <c r="Q108" s="141"/>
      <c r="R108" s="94"/>
      <c r="S108" s="94" t="s">
        <v>292</v>
      </c>
      <c r="T108" s="94" t="s">
        <v>607</v>
      </c>
      <c r="U108" s="78"/>
      <c r="V108" s="78"/>
      <c r="W108" s="78"/>
      <c r="X108" s="78"/>
      <c r="Y108" s="78"/>
      <c r="Z108" s="78"/>
      <c r="AA108" s="78">
        <v>697785</v>
      </c>
      <c r="AB108" s="79">
        <v>36230</v>
      </c>
      <c r="AC108" s="78">
        <v>207</v>
      </c>
      <c r="AD108" s="80">
        <v>36270</v>
      </c>
      <c r="AE108" s="75"/>
      <c r="AF108" s="75"/>
      <c r="AG108" s="32"/>
    </row>
    <row r="109" spans="2:37">
      <c r="B109" s="113">
        <f t="shared" si="13"/>
        <v>74</v>
      </c>
      <c r="C109" s="64" t="s">
        <v>608</v>
      </c>
      <c r="D109" s="64"/>
      <c r="E109" s="64"/>
      <c r="F109" s="63">
        <v>542</v>
      </c>
      <c r="G109" s="67">
        <f t="shared" si="11"/>
        <v>10542000</v>
      </c>
      <c r="H109" s="278" t="s">
        <v>608</v>
      </c>
      <c r="I109" s="63" t="s">
        <v>232</v>
      </c>
      <c r="J109" s="63" t="s">
        <v>95</v>
      </c>
      <c r="K109" s="63" t="s">
        <v>232</v>
      </c>
      <c r="L109" s="63" t="s">
        <v>245</v>
      </c>
      <c r="M109" s="93">
        <f t="shared" si="14"/>
        <v>20709320</v>
      </c>
      <c r="N109" s="93">
        <v>1000</v>
      </c>
      <c r="O109" s="103">
        <v>20709320</v>
      </c>
      <c r="P109" s="116"/>
      <c r="Q109" s="71"/>
      <c r="R109" s="66"/>
      <c r="S109" s="66"/>
      <c r="T109" s="142">
        <v>42359</v>
      </c>
      <c r="U109" s="78"/>
      <c r="V109" s="78"/>
      <c r="W109" s="78"/>
      <c r="X109" s="78"/>
      <c r="Y109" s="78"/>
      <c r="Z109" s="78"/>
      <c r="AA109" s="78"/>
      <c r="AB109" s="78"/>
      <c r="AC109" s="95"/>
      <c r="AD109" s="96"/>
      <c r="AE109" s="92"/>
      <c r="AF109" s="92"/>
      <c r="AG109" s="32"/>
    </row>
    <row r="110" spans="2:37">
      <c r="B110" s="113">
        <f t="shared" si="13"/>
        <v>75</v>
      </c>
      <c r="C110" s="64" t="s">
        <v>609</v>
      </c>
      <c r="D110" s="32"/>
      <c r="E110" s="64" t="s">
        <v>610</v>
      </c>
      <c r="F110" s="63">
        <v>540</v>
      </c>
      <c r="G110" s="67">
        <f t="shared" si="11"/>
        <v>10540000</v>
      </c>
      <c r="H110" s="278" t="s">
        <v>609</v>
      </c>
      <c r="I110" s="63" t="s">
        <v>232</v>
      </c>
      <c r="J110" s="63" t="s">
        <v>162</v>
      </c>
      <c r="K110" s="63" t="s">
        <v>232</v>
      </c>
      <c r="L110" s="63" t="s">
        <v>350</v>
      </c>
      <c r="M110" s="93">
        <f t="shared" si="14"/>
        <v>6500500</v>
      </c>
      <c r="N110" s="93">
        <v>100</v>
      </c>
      <c r="O110" s="103">
        <v>65005000</v>
      </c>
      <c r="P110" s="116"/>
      <c r="Q110" s="71"/>
      <c r="R110" s="66"/>
      <c r="S110" s="66"/>
      <c r="T110" s="66" t="s">
        <v>611</v>
      </c>
      <c r="U110" s="78"/>
      <c r="V110" s="78"/>
      <c r="W110" s="78"/>
      <c r="X110" s="78" t="s">
        <v>612</v>
      </c>
      <c r="Y110" s="78"/>
      <c r="Z110" s="78"/>
      <c r="AA110" s="78"/>
      <c r="AB110" s="78"/>
      <c r="AC110" s="95"/>
      <c r="AD110" s="96" t="s">
        <v>611</v>
      </c>
      <c r="AE110" s="92"/>
      <c r="AF110" s="92"/>
      <c r="AG110" s="32"/>
    </row>
    <row r="111" spans="2:37">
      <c r="B111" s="113">
        <f t="shared" si="13"/>
        <v>76</v>
      </c>
      <c r="C111" s="64" t="s">
        <v>613</v>
      </c>
      <c r="D111" s="64" t="s">
        <v>614</v>
      </c>
      <c r="E111" s="64"/>
      <c r="F111" s="66">
        <v>332</v>
      </c>
      <c r="G111" s="67">
        <f t="shared" si="11"/>
        <v>10332000</v>
      </c>
      <c r="H111" s="278" t="s">
        <v>613</v>
      </c>
      <c r="I111" s="66" t="s">
        <v>232</v>
      </c>
      <c r="J111" s="66" t="s">
        <v>164</v>
      </c>
      <c r="K111" s="66" t="s">
        <v>232</v>
      </c>
      <c r="L111" s="66" t="s">
        <v>259</v>
      </c>
      <c r="M111" s="93">
        <f t="shared" si="14"/>
        <v>5256</v>
      </c>
      <c r="N111" s="93">
        <v>100</v>
      </c>
      <c r="O111" s="94">
        <v>52560</v>
      </c>
      <c r="P111" s="116"/>
      <c r="Q111" s="71"/>
      <c r="R111" s="66"/>
      <c r="S111" s="66" t="s">
        <v>292</v>
      </c>
      <c r="T111" s="66" t="s">
        <v>615</v>
      </c>
      <c r="U111" s="78"/>
      <c r="V111" s="78"/>
      <c r="W111" s="78"/>
      <c r="X111" s="78"/>
      <c r="Y111" s="78"/>
      <c r="Z111" s="78"/>
      <c r="AA111" s="78"/>
      <c r="AB111" s="78"/>
      <c r="AC111" s="78"/>
      <c r="AD111" s="96"/>
      <c r="AE111" s="92"/>
      <c r="AF111" s="92"/>
      <c r="AG111" s="32"/>
    </row>
    <row r="112" spans="2:37">
      <c r="B112" s="113">
        <f t="shared" si="13"/>
        <v>77</v>
      </c>
      <c r="C112" s="64" t="s">
        <v>616</v>
      </c>
      <c r="D112" s="64" t="s">
        <v>617</v>
      </c>
      <c r="E112" s="64"/>
      <c r="F112" s="66">
        <v>68</v>
      </c>
      <c r="G112" s="67">
        <f t="shared" si="11"/>
        <v>10068000</v>
      </c>
      <c r="H112" s="278" t="s">
        <v>616</v>
      </c>
      <c r="I112" s="66" t="s">
        <v>244</v>
      </c>
      <c r="J112" s="66" t="s">
        <v>165</v>
      </c>
      <c r="K112" s="66" t="s">
        <v>244</v>
      </c>
      <c r="L112" s="66" t="s">
        <v>259</v>
      </c>
      <c r="M112" s="93">
        <f t="shared" si="14"/>
        <v>26585.200000000001</v>
      </c>
      <c r="N112" s="93">
        <v>100</v>
      </c>
      <c r="O112" s="94">
        <v>265852</v>
      </c>
      <c r="P112" s="116"/>
      <c r="Q112" s="71"/>
      <c r="R112" s="66"/>
      <c r="S112" s="66" t="s">
        <v>292</v>
      </c>
      <c r="T112" s="66" t="s">
        <v>505</v>
      </c>
      <c r="U112" s="78"/>
      <c r="V112" s="78"/>
      <c r="W112" s="143" t="s">
        <v>618</v>
      </c>
      <c r="X112" s="143"/>
      <c r="Y112" s="78"/>
      <c r="Z112" s="78"/>
      <c r="AA112" s="78"/>
      <c r="AB112" s="78"/>
      <c r="AC112" s="78"/>
      <c r="AD112" s="96"/>
      <c r="AE112" s="92"/>
      <c r="AF112" s="92"/>
      <c r="AG112" s="32"/>
    </row>
    <row r="113" spans="2:46">
      <c r="B113" s="113">
        <f t="shared" si="13"/>
        <v>78</v>
      </c>
      <c r="C113" s="64" t="s">
        <v>619</v>
      </c>
      <c r="D113" s="64" t="s">
        <v>620</v>
      </c>
      <c r="E113" s="64"/>
      <c r="F113" s="66">
        <v>290</v>
      </c>
      <c r="G113" s="67">
        <f t="shared" si="11"/>
        <v>10290000</v>
      </c>
      <c r="H113" s="278" t="s">
        <v>619</v>
      </c>
      <c r="I113" s="66" t="s">
        <v>232</v>
      </c>
      <c r="J113" s="66" t="s">
        <v>49</v>
      </c>
      <c r="K113" s="66" t="s">
        <v>232</v>
      </c>
      <c r="L113" s="66" t="s">
        <v>233</v>
      </c>
      <c r="M113" s="93">
        <f t="shared" si="14"/>
        <v>13682.6</v>
      </c>
      <c r="N113" s="93">
        <v>100</v>
      </c>
      <c r="O113" s="94">
        <v>136826</v>
      </c>
      <c r="P113" s="116"/>
      <c r="Q113" s="71"/>
      <c r="R113" s="66"/>
      <c r="S113" s="66" t="s">
        <v>292</v>
      </c>
      <c r="T113" s="66" t="s">
        <v>621</v>
      </c>
      <c r="U113" s="78"/>
      <c r="V113" s="78"/>
      <c r="W113" s="78"/>
      <c r="X113" s="78"/>
      <c r="Y113" s="78"/>
      <c r="Z113" s="78"/>
      <c r="AA113" s="78"/>
      <c r="AB113" s="78"/>
      <c r="AC113" s="78"/>
      <c r="AD113" s="96"/>
      <c r="AE113" s="92"/>
      <c r="AF113" s="92"/>
      <c r="AG113" s="32"/>
    </row>
    <row r="114" spans="2:46">
      <c r="B114" s="113">
        <f t="shared" si="13"/>
        <v>79</v>
      </c>
      <c r="C114" s="64" t="s">
        <v>622</v>
      </c>
      <c r="D114" s="64" t="s">
        <v>623</v>
      </c>
      <c r="E114" s="64"/>
      <c r="F114" s="66">
        <v>40</v>
      </c>
      <c r="G114" s="67">
        <f t="shared" si="11"/>
        <v>10040000</v>
      </c>
      <c r="H114" s="278" t="s">
        <v>622</v>
      </c>
      <c r="I114" s="66" t="s">
        <v>232</v>
      </c>
      <c r="J114" s="66" t="s">
        <v>169</v>
      </c>
      <c r="K114" s="66" t="s">
        <v>232</v>
      </c>
      <c r="L114" s="66" t="s">
        <v>259</v>
      </c>
      <c r="M114" s="93">
        <f t="shared" si="14"/>
        <v>31887.9</v>
      </c>
      <c r="N114" s="93">
        <v>100</v>
      </c>
      <c r="O114" s="94">
        <v>318879</v>
      </c>
      <c r="P114" s="116"/>
      <c r="Q114" s="71"/>
      <c r="R114" s="66"/>
      <c r="S114" s="66" t="s">
        <v>292</v>
      </c>
      <c r="T114" s="66"/>
      <c r="U114" s="78"/>
      <c r="V114" s="78"/>
      <c r="W114" s="78"/>
      <c r="X114" s="78"/>
      <c r="Y114" s="78"/>
      <c r="Z114" s="78"/>
      <c r="AA114" s="78"/>
      <c r="AB114" s="78"/>
      <c r="AC114" s="78"/>
      <c r="AD114" s="96"/>
      <c r="AE114" s="92"/>
      <c r="AF114" s="92"/>
      <c r="AG114" s="32"/>
    </row>
    <row r="115" spans="2:46">
      <c r="B115" s="113">
        <f t="shared" si="13"/>
        <v>80</v>
      </c>
      <c r="C115" s="64" t="s">
        <v>624</v>
      </c>
      <c r="D115" s="64" t="s">
        <v>625</v>
      </c>
      <c r="E115" s="64"/>
      <c r="F115" s="66">
        <v>9</v>
      </c>
      <c r="G115" s="67">
        <f t="shared" si="11"/>
        <v>10009000</v>
      </c>
      <c r="H115" s="278" t="s">
        <v>624</v>
      </c>
      <c r="I115" s="66" t="s">
        <v>232</v>
      </c>
      <c r="J115" s="66" t="s">
        <v>170</v>
      </c>
      <c r="K115" s="66" t="s">
        <v>232</v>
      </c>
      <c r="L115" s="66" t="s">
        <v>350</v>
      </c>
      <c r="M115" s="93">
        <f t="shared" si="14"/>
        <v>47416.4</v>
      </c>
      <c r="N115" s="144">
        <v>100</v>
      </c>
      <c r="O115" s="94">
        <v>474164</v>
      </c>
      <c r="P115" s="78"/>
      <c r="Q115" s="71"/>
      <c r="R115" s="66"/>
      <c r="S115" s="66" t="s">
        <v>292</v>
      </c>
      <c r="T115" s="66"/>
      <c r="U115" s="78"/>
      <c r="V115" s="79">
        <v>36277</v>
      </c>
      <c r="W115" s="78">
        <f>271824-30600</f>
        <v>241224</v>
      </c>
      <c r="X115" s="79">
        <v>36265</v>
      </c>
      <c r="Y115" s="78"/>
      <c r="Z115" s="78">
        <v>-30600</v>
      </c>
      <c r="AA115" s="78"/>
      <c r="AB115" s="78"/>
      <c r="AC115" s="78"/>
      <c r="AD115" s="96"/>
      <c r="AE115" s="92"/>
      <c r="AF115" s="92"/>
      <c r="AG115" s="32" t="s">
        <v>626</v>
      </c>
    </row>
    <row r="116" spans="2:46">
      <c r="B116" s="113">
        <f t="shared" si="13"/>
        <v>81</v>
      </c>
      <c r="C116" s="64" t="s">
        <v>627</v>
      </c>
      <c r="D116" s="64" t="s">
        <v>628</v>
      </c>
      <c r="E116" s="64"/>
      <c r="F116" s="66">
        <v>2</v>
      </c>
      <c r="G116" s="67">
        <f t="shared" si="11"/>
        <v>10002000</v>
      </c>
      <c r="H116" s="278" t="s">
        <v>627</v>
      </c>
      <c r="I116" s="66" t="s">
        <v>232</v>
      </c>
      <c r="J116" s="66" t="s">
        <v>171</v>
      </c>
      <c r="K116" s="66" t="s">
        <v>232</v>
      </c>
      <c r="L116" s="66" t="s">
        <v>350</v>
      </c>
      <c r="M116" s="93">
        <f t="shared" si="14"/>
        <v>247534.3</v>
      </c>
      <c r="N116" s="93">
        <v>100</v>
      </c>
      <c r="O116" s="94">
        <v>2475343</v>
      </c>
      <c r="P116" s="78"/>
      <c r="Q116" s="71"/>
      <c r="R116" s="66"/>
      <c r="S116" s="66" t="s">
        <v>292</v>
      </c>
      <c r="T116" s="66" t="s">
        <v>629</v>
      </c>
      <c r="U116" s="78"/>
      <c r="V116" s="78"/>
      <c r="W116" s="78"/>
      <c r="X116" s="78"/>
      <c r="Y116" s="78"/>
      <c r="Z116" s="78"/>
      <c r="AA116" s="78"/>
      <c r="AB116" s="78"/>
      <c r="AC116" s="78"/>
      <c r="AD116" s="96"/>
      <c r="AE116" s="92"/>
      <c r="AF116" s="92"/>
      <c r="AG116" s="32"/>
    </row>
    <row r="117" spans="2:46">
      <c r="B117" s="113">
        <f t="shared" si="13"/>
        <v>82</v>
      </c>
      <c r="C117" s="64" t="s">
        <v>630</v>
      </c>
      <c r="D117" s="64" t="s">
        <v>631</v>
      </c>
      <c r="E117" s="64"/>
      <c r="F117" s="66">
        <v>236</v>
      </c>
      <c r="G117" s="67">
        <f t="shared" si="11"/>
        <v>10236000</v>
      </c>
      <c r="H117" s="278" t="s">
        <v>630</v>
      </c>
      <c r="I117" s="66" t="s">
        <v>232</v>
      </c>
      <c r="J117" s="66" t="s">
        <v>172</v>
      </c>
      <c r="K117" s="66" t="s">
        <v>232</v>
      </c>
      <c r="L117" s="66" t="s">
        <v>350</v>
      </c>
      <c r="M117" s="93">
        <f t="shared" si="14"/>
        <v>92027.9</v>
      </c>
      <c r="N117" s="144">
        <v>100</v>
      </c>
      <c r="O117" s="94">
        <v>920279</v>
      </c>
      <c r="P117" s="116"/>
      <c r="Q117" s="71"/>
      <c r="R117" s="66"/>
      <c r="S117" s="66" t="s">
        <v>292</v>
      </c>
      <c r="T117" s="66" t="s">
        <v>632</v>
      </c>
      <c r="U117" s="78">
        <v>92027.9</v>
      </c>
      <c r="V117" s="79">
        <v>36266</v>
      </c>
      <c r="W117" s="78"/>
      <c r="X117" s="79">
        <v>36223</v>
      </c>
      <c r="Y117" s="78">
        <v>407100</v>
      </c>
      <c r="Z117" s="78"/>
      <c r="AA117" s="78"/>
      <c r="AB117" s="78"/>
      <c r="AC117" s="78"/>
      <c r="AD117" s="80">
        <v>36270</v>
      </c>
      <c r="AE117" s="75"/>
      <c r="AF117" s="75"/>
      <c r="AG117" s="32"/>
    </row>
    <row r="118" spans="2:46">
      <c r="B118" s="113">
        <f t="shared" si="13"/>
        <v>83</v>
      </c>
      <c r="C118" s="64" t="s">
        <v>633</v>
      </c>
      <c r="D118" s="64" t="s">
        <v>634</v>
      </c>
      <c r="E118" s="64"/>
      <c r="F118" s="66">
        <v>25</v>
      </c>
      <c r="G118" s="67">
        <f t="shared" si="11"/>
        <v>10025000</v>
      </c>
      <c r="H118" s="278" t="s">
        <v>633</v>
      </c>
      <c r="I118" s="66" t="s">
        <v>232</v>
      </c>
      <c r="J118" s="66" t="s">
        <v>47</v>
      </c>
      <c r="K118" s="66" t="s">
        <v>232</v>
      </c>
      <c r="L118" s="66" t="s">
        <v>233</v>
      </c>
      <c r="M118" s="93">
        <f t="shared" si="14"/>
        <v>1586923.3</v>
      </c>
      <c r="N118" s="93">
        <v>100</v>
      </c>
      <c r="O118" s="94">
        <f>102969*57+10000000</f>
        <v>15869233</v>
      </c>
      <c r="P118" s="114"/>
      <c r="Q118" s="71"/>
      <c r="R118" s="94"/>
      <c r="S118" s="94" t="s">
        <v>292</v>
      </c>
      <c r="T118" s="94" t="s">
        <v>569</v>
      </c>
      <c r="U118" s="78">
        <v>461476.2</v>
      </c>
      <c r="V118" s="78"/>
      <c r="W118" s="78"/>
      <c r="X118" s="78"/>
      <c r="Y118" s="78"/>
      <c r="Z118" s="78"/>
      <c r="AA118" s="78">
        <v>97994</v>
      </c>
      <c r="AB118" s="79">
        <v>36006</v>
      </c>
      <c r="AC118" s="78">
        <v>548</v>
      </c>
      <c r="AD118" s="80">
        <v>36054</v>
      </c>
      <c r="AE118" s="75"/>
      <c r="AF118" s="98"/>
      <c r="AG118" s="32" t="s">
        <v>635</v>
      </c>
      <c r="AI118" s="24" t="s">
        <v>636</v>
      </c>
      <c r="AK118" s="136"/>
      <c r="AL118" s="136"/>
    </row>
    <row r="119" spans="2:46">
      <c r="B119" s="113">
        <f t="shared" si="13"/>
        <v>84</v>
      </c>
      <c r="C119" s="64" t="s">
        <v>637</v>
      </c>
      <c r="D119" s="64" t="s">
        <v>638</v>
      </c>
      <c r="E119" s="64"/>
      <c r="F119" s="66">
        <v>38</v>
      </c>
      <c r="G119" s="67">
        <f t="shared" si="11"/>
        <v>10038000</v>
      </c>
      <c r="H119" s="278" t="s">
        <v>637</v>
      </c>
      <c r="I119" s="66" t="s">
        <v>232</v>
      </c>
      <c r="J119" s="66" t="s">
        <v>59</v>
      </c>
      <c r="K119" s="66" t="s">
        <v>232</v>
      </c>
      <c r="L119" s="66" t="s">
        <v>350</v>
      </c>
      <c r="M119" s="93">
        <f t="shared" si="14"/>
        <v>40021.199999999997</v>
      </c>
      <c r="N119" s="93">
        <v>100</v>
      </c>
      <c r="O119" s="94">
        <v>400212</v>
      </c>
      <c r="P119" s="78"/>
      <c r="Q119" s="71"/>
      <c r="R119" s="66"/>
      <c r="S119" s="66" t="s">
        <v>292</v>
      </c>
      <c r="T119" s="66" t="s">
        <v>639</v>
      </c>
      <c r="U119" s="78"/>
      <c r="V119" s="79">
        <v>36174</v>
      </c>
      <c r="W119" s="78"/>
      <c r="X119" s="78">
        <v>129</v>
      </c>
      <c r="Y119" s="99">
        <v>280000</v>
      </c>
      <c r="Z119" s="78">
        <v>140000</v>
      </c>
      <c r="AA119" s="78"/>
      <c r="AB119" s="78"/>
      <c r="AC119" s="78"/>
      <c r="AD119" s="80">
        <v>36175</v>
      </c>
      <c r="AE119" s="75"/>
      <c r="AF119" s="75"/>
      <c r="AG119" s="145" t="s">
        <v>640</v>
      </c>
      <c r="AH119" s="146"/>
    </row>
    <row r="120" spans="2:46">
      <c r="B120" s="113">
        <f t="shared" si="13"/>
        <v>85</v>
      </c>
      <c r="C120" s="64" t="s">
        <v>641</v>
      </c>
      <c r="D120" s="64" t="s">
        <v>634</v>
      </c>
      <c r="E120" s="64"/>
      <c r="F120" s="66">
        <v>471</v>
      </c>
      <c r="G120" s="67">
        <f t="shared" si="11"/>
        <v>10471000</v>
      </c>
      <c r="H120" s="278" t="s">
        <v>641</v>
      </c>
      <c r="I120" s="66" t="s">
        <v>232</v>
      </c>
      <c r="J120" s="66" t="s">
        <v>74</v>
      </c>
      <c r="K120" s="66" t="s">
        <v>232</v>
      </c>
      <c r="L120" s="66" t="s">
        <v>233</v>
      </c>
      <c r="M120" s="93">
        <f t="shared" si="14"/>
        <v>12276.7</v>
      </c>
      <c r="N120" s="93">
        <v>100</v>
      </c>
      <c r="O120" s="94">
        <v>122767</v>
      </c>
      <c r="P120" s="114"/>
      <c r="Q120" s="71"/>
      <c r="R120" s="94"/>
      <c r="S120" s="94"/>
      <c r="T120" s="94" t="s">
        <v>642</v>
      </c>
      <c r="U120" s="78">
        <v>114745.5</v>
      </c>
      <c r="V120" s="78"/>
      <c r="W120" s="78"/>
      <c r="X120" s="78"/>
      <c r="Y120" s="78"/>
      <c r="Z120" s="78"/>
      <c r="AA120" s="78">
        <v>62610</v>
      </c>
      <c r="AB120" s="79">
        <v>36091</v>
      </c>
      <c r="AC120" s="78">
        <v>735</v>
      </c>
      <c r="AD120" s="80">
        <v>36112</v>
      </c>
      <c r="AE120" s="75"/>
      <c r="AF120" s="75"/>
      <c r="AG120" s="32" t="s">
        <v>643</v>
      </c>
    </row>
    <row r="121" spans="2:46">
      <c r="B121" s="113">
        <f t="shared" si="13"/>
        <v>86</v>
      </c>
      <c r="C121" s="64" t="s">
        <v>644</v>
      </c>
      <c r="D121" s="64" t="s">
        <v>645</v>
      </c>
      <c r="E121" s="64"/>
      <c r="F121" s="66">
        <v>23</v>
      </c>
      <c r="G121" s="67">
        <f t="shared" si="11"/>
        <v>10023000</v>
      </c>
      <c r="H121" s="278" t="s">
        <v>644</v>
      </c>
      <c r="I121" s="66" t="s">
        <v>232</v>
      </c>
      <c r="J121" s="66" t="s">
        <v>646</v>
      </c>
      <c r="K121" s="66" t="s">
        <v>232</v>
      </c>
      <c r="L121" s="66" t="s">
        <v>350</v>
      </c>
      <c r="M121" s="93">
        <f t="shared" si="14"/>
        <v>35087.699999999997</v>
      </c>
      <c r="N121" s="93">
        <v>100</v>
      </c>
      <c r="O121" s="94">
        <v>350877</v>
      </c>
      <c r="P121" s="116"/>
      <c r="Q121" s="71"/>
      <c r="R121" s="66"/>
      <c r="S121" s="66" t="s">
        <v>292</v>
      </c>
      <c r="T121" s="66" t="s">
        <v>647</v>
      </c>
      <c r="U121" s="78"/>
      <c r="V121" s="78"/>
      <c r="W121" s="78"/>
      <c r="X121" s="78"/>
      <c r="Y121" s="78"/>
      <c r="Z121" s="78"/>
      <c r="AA121" s="78"/>
      <c r="AB121" s="78"/>
      <c r="AC121" s="78"/>
      <c r="AD121" s="96"/>
      <c r="AE121" s="92"/>
      <c r="AF121" s="92"/>
      <c r="AG121" s="32"/>
    </row>
    <row r="122" spans="2:46">
      <c r="B122" s="113">
        <f t="shared" si="13"/>
        <v>87</v>
      </c>
      <c r="C122" s="64" t="s">
        <v>648</v>
      </c>
      <c r="D122" s="64" t="s">
        <v>649</v>
      </c>
      <c r="E122" s="64"/>
      <c r="F122" s="66">
        <v>120</v>
      </c>
      <c r="G122" s="67">
        <f t="shared" si="11"/>
        <v>10120000</v>
      </c>
      <c r="H122" s="278" t="s">
        <v>648</v>
      </c>
      <c r="I122" s="66" t="s">
        <v>355</v>
      </c>
      <c r="J122" s="66" t="s">
        <v>27</v>
      </c>
      <c r="K122" s="66" t="s">
        <v>355</v>
      </c>
      <c r="L122" s="66" t="s">
        <v>380</v>
      </c>
      <c r="M122" s="93">
        <f t="shared" si="14"/>
        <v>5000</v>
      </c>
      <c r="N122" s="93">
        <v>100</v>
      </c>
      <c r="O122" s="94">
        <v>50000</v>
      </c>
      <c r="P122" s="116"/>
      <c r="Q122" s="71"/>
      <c r="R122" s="66"/>
      <c r="S122" s="66" t="s">
        <v>359</v>
      </c>
      <c r="T122" s="66" t="s">
        <v>650</v>
      </c>
      <c r="U122" s="78"/>
      <c r="V122" s="78"/>
      <c r="W122" s="78"/>
      <c r="X122" s="78"/>
      <c r="Y122" s="78"/>
      <c r="Z122" s="78"/>
      <c r="AA122" s="78"/>
      <c r="AB122" s="78"/>
      <c r="AC122" s="78"/>
      <c r="AD122" s="96"/>
      <c r="AE122" s="92"/>
      <c r="AF122" s="92" t="s">
        <v>651</v>
      </c>
      <c r="AG122" s="32"/>
    </row>
    <row r="123" spans="2:46">
      <c r="B123" s="113">
        <f t="shared" si="13"/>
        <v>88</v>
      </c>
      <c r="C123" s="64" t="s">
        <v>652</v>
      </c>
      <c r="D123" s="147" t="s">
        <v>653</v>
      </c>
      <c r="E123" s="147"/>
      <c r="F123" s="140">
        <v>517</v>
      </c>
      <c r="G123" s="67">
        <f t="shared" si="11"/>
        <v>10517000</v>
      </c>
      <c r="H123" s="279" t="s">
        <v>652</v>
      </c>
      <c r="I123" s="140" t="s">
        <v>232</v>
      </c>
      <c r="J123" s="148" t="s">
        <v>173</v>
      </c>
      <c r="K123" s="140" t="s">
        <v>232</v>
      </c>
      <c r="L123" s="148" t="s">
        <v>245</v>
      </c>
      <c r="M123" s="93">
        <f t="shared" si="14"/>
        <v>2900000</v>
      </c>
      <c r="N123" s="93">
        <v>290</v>
      </c>
      <c r="O123" s="149">
        <v>10000000</v>
      </c>
      <c r="P123" s="150"/>
      <c r="Q123" s="151"/>
      <c r="R123" s="72"/>
      <c r="S123" s="73"/>
      <c r="T123" s="73"/>
      <c r="U123" s="36"/>
      <c r="V123" s="36"/>
      <c r="W123" s="36"/>
      <c r="X123" s="74"/>
      <c r="Y123" s="36"/>
      <c r="Z123" s="36"/>
      <c r="AA123" s="36"/>
      <c r="AB123" s="74"/>
      <c r="AC123" s="36"/>
      <c r="AD123" s="75"/>
      <c r="AE123" s="75"/>
      <c r="AF123" s="75" t="s">
        <v>234</v>
      </c>
      <c r="AG123" s="62" t="s">
        <v>654</v>
      </c>
      <c r="AH123" s="152"/>
      <c r="AT123" s="24" t="s">
        <v>655</v>
      </c>
    </row>
    <row r="124" spans="2:46">
      <c r="B124" s="113">
        <f t="shared" si="13"/>
        <v>89</v>
      </c>
      <c r="C124" s="64" t="s">
        <v>656</v>
      </c>
      <c r="D124" s="65" t="s">
        <v>657</v>
      </c>
      <c r="E124" s="65" t="s">
        <v>658</v>
      </c>
      <c r="F124" s="66">
        <v>503</v>
      </c>
      <c r="G124" s="67">
        <f t="shared" si="11"/>
        <v>10503000</v>
      </c>
      <c r="H124" s="278" t="s">
        <v>656</v>
      </c>
      <c r="I124" s="66" t="s">
        <v>232</v>
      </c>
      <c r="J124" s="66" t="s">
        <v>79</v>
      </c>
      <c r="K124" s="66" t="s">
        <v>232</v>
      </c>
      <c r="L124" s="66" t="s">
        <v>245</v>
      </c>
      <c r="M124" s="93">
        <f t="shared" si="14"/>
        <v>300000</v>
      </c>
      <c r="N124" s="93">
        <v>10</v>
      </c>
      <c r="O124" s="131">
        <v>30000000</v>
      </c>
      <c r="P124" s="70"/>
      <c r="Q124" s="71"/>
      <c r="R124" s="72"/>
      <c r="S124" s="73"/>
      <c r="T124" s="73"/>
      <c r="U124" s="36"/>
      <c r="V124" s="36"/>
      <c r="W124" s="36"/>
      <c r="X124" s="74"/>
      <c r="Y124" s="36"/>
      <c r="Z124" s="36"/>
      <c r="AA124" s="36"/>
      <c r="AB124" s="74"/>
      <c r="AC124" s="36"/>
      <c r="AD124" s="75"/>
      <c r="AE124" s="75"/>
      <c r="AF124" s="75" t="s">
        <v>659</v>
      </c>
      <c r="AG124" s="32" t="s">
        <v>660</v>
      </c>
      <c r="AI124" s="24" t="s">
        <v>661</v>
      </c>
    </row>
    <row r="125" spans="2:46">
      <c r="B125" s="113">
        <f t="shared" si="13"/>
        <v>90</v>
      </c>
      <c r="C125" s="64" t="s">
        <v>662</v>
      </c>
      <c r="D125" s="65" t="s">
        <v>663</v>
      </c>
      <c r="E125" s="65"/>
      <c r="F125" s="66">
        <v>544</v>
      </c>
      <c r="G125" s="67">
        <f t="shared" si="11"/>
        <v>10544000</v>
      </c>
      <c r="H125" s="278" t="s">
        <v>662</v>
      </c>
      <c r="I125" s="66" t="s">
        <v>232</v>
      </c>
      <c r="J125" s="66" t="s">
        <v>97</v>
      </c>
      <c r="K125" s="66" t="s">
        <v>232</v>
      </c>
      <c r="L125" s="66"/>
      <c r="M125" s="93">
        <f t="shared" si="14"/>
        <v>5641700</v>
      </c>
      <c r="N125" s="93">
        <v>100</v>
      </c>
      <c r="O125" s="131">
        <v>56417000</v>
      </c>
      <c r="P125" s="70"/>
      <c r="Q125" s="71"/>
      <c r="R125" s="72"/>
      <c r="S125" s="73"/>
      <c r="T125" s="73"/>
      <c r="U125" s="36"/>
      <c r="V125" s="36"/>
      <c r="W125" s="36"/>
      <c r="X125" s="74"/>
      <c r="Y125" s="36"/>
      <c r="Z125" s="36"/>
      <c r="AA125" s="36"/>
      <c r="AB125" s="74"/>
      <c r="AC125" s="36"/>
      <c r="AD125" s="75"/>
      <c r="AE125" s="75"/>
      <c r="AF125" s="75"/>
      <c r="AG125" s="32"/>
    </row>
    <row r="126" spans="2:46">
      <c r="B126" s="113">
        <f t="shared" si="13"/>
        <v>91</v>
      </c>
      <c r="C126" s="64" t="s">
        <v>664</v>
      </c>
      <c r="D126" s="65"/>
      <c r="E126" s="65"/>
      <c r="F126" s="66">
        <v>551</v>
      </c>
      <c r="G126" s="67">
        <f t="shared" si="11"/>
        <v>10551000</v>
      </c>
      <c r="H126" s="278" t="s">
        <v>664</v>
      </c>
      <c r="I126" s="66" t="s">
        <v>232</v>
      </c>
      <c r="J126" s="66" t="s">
        <v>102</v>
      </c>
      <c r="K126" s="66" t="s">
        <v>232</v>
      </c>
      <c r="L126" s="66"/>
      <c r="M126" s="93">
        <f t="shared" si="14"/>
        <v>2318181.9267599997</v>
      </c>
      <c r="N126" s="153">
        <v>5.67</v>
      </c>
      <c r="O126" s="131">
        <v>408850428</v>
      </c>
      <c r="P126" s="70"/>
      <c r="Q126" s="71"/>
      <c r="R126" s="72"/>
      <c r="S126" s="73"/>
      <c r="T126" s="73"/>
      <c r="U126" s="36"/>
      <c r="V126" s="36"/>
      <c r="W126" s="36"/>
      <c r="X126" s="74"/>
      <c r="Y126" s="36"/>
      <c r="Z126" s="36"/>
      <c r="AA126" s="36"/>
      <c r="AB126" s="74"/>
      <c r="AC126" s="36"/>
      <c r="AD126" s="75"/>
      <c r="AE126" s="75"/>
      <c r="AF126" s="75"/>
      <c r="AG126" s="32"/>
    </row>
    <row r="127" spans="2:46">
      <c r="B127" s="113">
        <f t="shared" si="13"/>
        <v>92</v>
      </c>
      <c r="C127" s="64" t="s">
        <v>665</v>
      </c>
      <c r="D127" s="65"/>
      <c r="E127" s="65"/>
      <c r="F127" s="66">
        <v>552</v>
      </c>
      <c r="G127" s="67">
        <f t="shared" si="11"/>
        <v>10552000</v>
      </c>
      <c r="H127" s="278" t="s">
        <v>665</v>
      </c>
      <c r="I127" s="66" t="s">
        <v>232</v>
      </c>
      <c r="J127" s="66" t="s">
        <v>666</v>
      </c>
      <c r="K127" s="66" t="s">
        <v>232</v>
      </c>
      <c r="L127" s="66"/>
      <c r="M127" s="93">
        <f t="shared" si="14"/>
        <v>466716.64199999999</v>
      </c>
      <c r="N127" s="153">
        <v>1</v>
      </c>
      <c r="O127" s="131">
        <v>466716642</v>
      </c>
      <c r="P127" s="70"/>
      <c r="Q127" s="71"/>
      <c r="R127" s="72"/>
      <c r="S127" s="73"/>
      <c r="T127" s="73"/>
      <c r="U127" s="36"/>
      <c r="V127" s="36"/>
      <c r="W127" s="36"/>
      <c r="X127" s="74"/>
      <c r="Y127" s="36"/>
      <c r="Z127" s="36"/>
      <c r="AA127" s="36"/>
      <c r="AB127" s="74"/>
      <c r="AC127" s="36"/>
      <c r="AD127" s="75"/>
      <c r="AE127" s="75"/>
      <c r="AF127" s="75"/>
      <c r="AG127" s="32"/>
    </row>
    <row r="128" spans="2:46">
      <c r="B128" s="113">
        <f t="shared" si="13"/>
        <v>93</v>
      </c>
      <c r="C128" s="64" t="s">
        <v>667</v>
      </c>
      <c r="D128" s="64" t="s">
        <v>668</v>
      </c>
      <c r="E128" s="64"/>
      <c r="F128" s="66">
        <v>51</v>
      </c>
      <c r="G128" s="67">
        <f t="shared" si="11"/>
        <v>10051000</v>
      </c>
      <c r="H128" s="278" t="s">
        <v>667</v>
      </c>
      <c r="I128" s="66" t="s">
        <v>232</v>
      </c>
      <c r="J128" s="66" t="s">
        <v>174</v>
      </c>
      <c r="K128" s="66" t="s">
        <v>232</v>
      </c>
      <c r="L128" s="66" t="s">
        <v>233</v>
      </c>
      <c r="M128" s="93">
        <f t="shared" si="14"/>
        <v>8241.7000000000007</v>
      </c>
      <c r="N128" s="93">
        <v>100</v>
      </c>
      <c r="O128" s="94">
        <v>82417</v>
      </c>
      <c r="P128" s="116"/>
      <c r="Q128" s="71"/>
      <c r="R128" s="66"/>
      <c r="S128" s="66" t="s">
        <v>292</v>
      </c>
      <c r="T128" s="66" t="s">
        <v>669</v>
      </c>
      <c r="U128" s="78"/>
      <c r="V128" s="78"/>
      <c r="W128" s="78"/>
      <c r="X128" s="78"/>
      <c r="Y128" s="78"/>
      <c r="Z128" s="78"/>
      <c r="AA128" s="78"/>
      <c r="AB128" s="78"/>
      <c r="AC128" s="78"/>
      <c r="AD128" s="96"/>
      <c r="AE128" s="92"/>
      <c r="AF128" s="92"/>
      <c r="AG128" s="32"/>
    </row>
    <row r="129" spans="2:36">
      <c r="B129" s="113">
        <f t="shared" si="13"/>
        <v>94</v>
      </c>
      <c r="C129" s="64" t="s">
        <v>670</v>
      </c>
      <c r="D129" s="64"/>
      <c r="E129" s="64" t="s">
        <v>671</v>
      </c>
      <c r="F129" s="66">
        <v>531</v>
      </c>
      <c r="G129" s="67">
        <f t="shared" si="11"/>
        <v>10531000</v>
      </c>
      <c r="H129" s="278" t="s">
        <v>670</v>
      </c>
      <c r="I129" s="66" t="s">
        <v>232</v>
      </c>
      <c r="J129" s="66" t="s">
        <v>91</v>
      </c>
      <c r="K129" s="66" t="s">
        <v>232</v>
      </c>
      <c r="L129" s="66" t="s">
        <v>350</v>
      </c>
      <c r="M129" s="93">
        <f t="shared" si="14"/>
        <v>1261572.1000000001</v>
      </c>
      <c r="N129" s="93">
        <v>100</v>
      </c>
      <c r="O129" s="94">
        <f>11000000+1615721</f>
        <v>12615721</v>
      </c>
      <c r="P129" s="154"/>
      <c r="Q129" s="71"/>
      <c r="R129" s="66"/>
      <c r="S129" s="66"/>
      <c r="T129" s="66"/>
      <c r="U129" s="78"/>
      <c r="V129" s="78"/>
      <c r="W129" s="78"/>
      <c r="X129" s="78"/>
      <c r="Y129" s="78"/>
      <c r="Z129" s="78"/>
      <c r="AA129" s="78"/>
      <c r="AB129" s="78"/>
      <c r="AC129" s="78"/>
      <c r="AD129" s="96"/>
      <c r="AE129" s="92"/>
      <c r="AF129" s="92"/>
      <c r="AG129" s="32"/>
    </row>
    <row r="130" spans="2:36">
      <c r="B130" s="113">
        <f t="shared" si="13"/>
        <v>95</v>
      </c>
      <c r="C130" s="64" t="s">
        <v>672</v>
      </c>
      <c r="D130" s="64" t="s">
        <v>673</v>
      </c>
      <c r="E130" s="64"/>
      <c r="F130" s="66">
        <v>55</v>
      </c>
      <c r="G130" s="67">
        <f t="shared" si="11"/>
        <v>10055000</v>
      </c>
      <c r="H130" s="278" t="s">
        <v>672</v>
      </c>
      <c r="I130" s="66" t="s">
        <v>232</v>
      </c>
      <c r="J130" s="66" t="s">
        <v>176</v>
      </c>
      <c r="K130" s="66" t="s">
        <v>232</v>
      </c>
      <c r="L130" s="66" t="s">
        <v>233</v>
      </c>
      <c r="M130" s="93">
        <f t="shared" si="14"/>
        <v>43588</v>
      </c>
      <c r="N130" s="93">
        <v>100</v>
      </c>
      <c r="O130" s="94">
        <v>435880</v>
      </c>
      <c r="P130" s="114"/>
      <c r="Q130" s="71"/>
      <c r="R130" s="94"/>
      <c r="S130" s="94" t="s">
        <v>292</v>
      </c>
      <c r="T130" s="94" t="s">
        <v>674</v>
      </c>
      <c r="U130" s="78"/>
      <c r="V130" s="78"/>
      <c r="W130" s="78"/>
      <c r="X130" s="78"/>
      <c r="Y130" s="78"/>
      <c r="Z130" s="78"/>
      <c r="AA130" s="78">
        <v>222299</v>
      </c>
      <c r="AB130" s="79">
        <v>36195</v>
      </c>
      <c r="AC130" s="78">
        <v>63</v>
      </c>
      <c r="AD130" s="80">
        <v>36214</v>
      </c>
      <c r="AE130" s="75"/>
      <c r="AF130" s="75"/>
      <c r="AG130" s="32"/>
    </row>
    <row r="131" spans="2:36">
      <c r="B131" s="113">
        <f t="shared" si="13"/>
        <v>96</v>
      </c>
      <c r="C131" s="64" t="s">
        <v>675</v>
      </c>
      <c r="D131" s="64" t="s">
        <v>676</v>
      </c>
      <c r="E131" s="64"/>
      <c r="F131" s="66">
        <v>201</v>
      </c>
      <c r="G131" s="67">
        <f t="shared" si="11"/>
        <v>10201000</v>
      </c>
      <c r="H131" s="278" t="s">
        <v>675</v>
      </c>
      <c r="I131" s="66" t="s">
        <v>286</v>
      </c>
      <c r="J131" s="66" t="s">
        <v>177</v>
      </c>
      <c r="K131" s="66" t="s">
        <v>286</v>
      </c>
      <c r="L131" s="66" t="s">
        <v>245</v>
      </c>
      <c r="M131" s="93">
        <f t="shared" si="14"/>
        <v>5205.6000000000004</v>
      </c>
      <c r="N131" s="93">
        <v>1</v>
      </c>
      <c r="O131" s="94">
        <f>52056*100</f>
        <v>5205600</v>
      </c>
      <c r="P131" s="116"/>
      <c r="Q131" s="71"/>
      <c r="R131" s="66"/>
      <c r="S131" s="66" t="s">
        <v>677</v>
      </c>
      <c r="T131" s="66" t="s">
        <v>678</v>
      </c>
      <c r="U131" s="78"/>
      <c r="V131" s="78"/>
      <c r="W131" s="78" t="s">
        <v>679</v>
      </c>
      <c r="X131" s="78" t="s">
        <v>680</v>
      </c>
      <c r="Y131" s="78"/>
      <c r="Z131" s="78"/>
      <c r="AA131" s="78"/>
      <c r="AB131" s="78"/>
      <c r="AC131" s="78"/>
      <c r="AD131" s="96"/>
      <c r="AE131" s="92"/>
      <c r="AF131" s="92"/>
      <c r="AG131" s="32" t="s">
        <v>681</v>
      </c>
    </row>
    <row r="132" spans="2:36">
      <c r="B132" s="113">
        <f t="shared" si="13"/>
        <v>97</v>
      </c>
      <c r="C132" s="64" t="s">
        <v>682</v>
      </c>
      <c r="D132" s="64" t="s">
        <v>683</v>
      </c>
      <c r="E132" s="64"/>
      <c r="F132" s="66">
        <v>289</v>
      </c>
      <c r="G132" s="67">
        <f t="shared" si="11"/>
        <v>10289000</v>
      </c>
      <c r="H132" s="278" t="s">
        <v>682</v>
      </c>
      <c r="I132" s="66" t="s">
        <v>436</v>
      </c>
      <c r="J132" s="66" t="s">
        <v>179</v>
      </c>
      <c r="K132" s="66" t="s">
        <v>436</v>
      </c>
      <c r="L132" s="66" t="s">
        <v>245</v>
      </c>
      <c r="M132" s="93">
        <f t="shared" si="14"/>
        <v>6083.3</v>
      </c>
      <c r="N132" s="93">
        <v>100</v>
      </c>
      <c r="O132" s="94">
        <v>60833</v>
      </c>
      <c r="P132" s="116"/>
      <c r="Q132" s="71"/>
      <c r="R132" s="94"/>
      <c r="S132" s="94" t="s">
        <v>496</v>
      </c>
      <c r="T132" s="94" t="s">
        <v>684</v>
      </c>
      <c r="U132" s="78"/>
      <c r="V132" s="78"/>
      <c r="W132" s="78"/>
      <c r="X132" s="78"/>
      <c r="Y132" s="78"/>
      <c r="Z132" s="78"/>
      <c r="AA132" s="78">
        <v>31024</v>
      </c>
      <c r="AB132" s="79">
        <v>35769</v>
      </c>
      <c r="AC132" s="78">
        <v>763</v>
      </c>
      <c r="AD132" s="80">
        <v>35828</v>
      </c>
      <c r="AE132" s="75"/>
      <c r="AF132" s="75"/>
      <c r="AG132" s="32" t="s">
        <v>685</v>
      </c>
    </row>
    <row r="133" spans="2:36">
      <c r="B133" s="113">
        <f t="shared" si="13"/>
        <v>98</v>
      </c>
      <c r="C133" s="64" t="s">
        <v>686</v>
      </c>
      <c r="D133" s="64" t="s">
        <v>687</v>
      </c>
      <c r="E133" s="64"/>
      <c r="F133" s="66">
        <v>196</v>
      </c>
      <c r="G133" s="67">
        <f t="shared" si="11"/>
        <v>10196000</v>
      </c>
      <c r="H133" s="278" t="s">
        <v>686</v>
      </c>
      <c r="I133" s="66" t="s">
        <v>688</v>
      </c>
      <c r="J133" s="66" t="s">
        <v>178</v>
      </c>
      <c r="K133" s="66" t="s">
        <v>688</v>
      </c>
      <c r="L133" s="66" t="s">
        <v>233</v>
      </c>
      <c r="M133" s="93">
        <f t="shared" si="14"/>
        <v>5700</v>
      </c>
      <c r="N133" s="93">
        <v>100</v>
      </c>
      <c r="O133" s="94">
        <v>57000</v>
      </c>
      <c r="P133" s="116"/>
      <c r="Q133" s="71"/>
      <c r="R133" s="66"/>
      <c r="S133" s="66" t="s">
        <v>689</v>
      </c>
      <c r="T133" s="66" t="s">
        <v>690</v>
      </c>
      <c r="U133" s="78"/>
      <c r="V133" s="78"/>
      <c r="W133" s="78"/>
      <c r="X133" s="78"/>
      <c r="Y133" s="78"/>
      <c r="Z133" s="78"/>
      <c r="AA133" s="78"/>
      <c r="AB133" s="78"/>
      <c r="AC133" s="78"/>
      <c r="AD133" s="96"/>
      <c r="AE133" s="92"/>
      <c r="AF133" s="92"/>
      <c r="AG133" s="32"/>
    </row>
    <row r="134" spans="2:36">
      <c r="B134" s="113">
        <f t="shared" si="13"/>
        <v>99</v>
      </c>
      <c r="C134" s="64" t="s">
        <v>691</v>
      </c>
      <c r="D134" s="64" t="s">
        <v>692</v>
      </c>
      <c r="E134" s="64"/>
      <c r="F134" s="66">
        <v>67</v>
      </c>
      <c r="G134" s="67">
        <f t="shared" si="11"/>
        <v>10067000</v>
      </c>
      <c r="H134" s="278" t="s">
        <v>691</v>
      </c>
      <c r="I134" s="66" t="s">
        <v>232</v>
      </c>
      <c r="J134" s="66" t="s">
        <v>106</v>
      </c>
      <c r="K134" s="66" t="s">
        <v>232</v>
      </c>
      <c r="L134" s="66" t="s">
        <v>350</v>
      </c>
      <c r="M134" s="93">
        <f t="shared" si="14"/>
        <v>128851.5</v>
      </c>
      <c r="N134" s="93">
        <v>100</v>
      </c>
      <c r="O134" s="94">
        <v>1288515</v>
      </c>
      <c r="P134" s="116"/>
      <c r="Q134" s="71"/>
      <c r="R134" s="66"/>
      <c r="S134" s="66" t="s">
        <v>292</v>
      </c>
      <c r="T134" s="66" t="s">
        <v>693</v>
      </c>
      <c r="U134" s="78"/>
      <c r="V134" s="79">
        <v>35725</v>
      </c>
      <c r="W134" s="78">
        <v>1185400</v>
      </c>
      <c r="X134" s="78"/>
      <c r="Y134" s="78"/>
      <c r="Z134" s="78"/>
      <c r="AA134" s="78"/>
      <c r="AB134" s="78"/>
      <c r="AC134" s="78"/>
      <c r="AD134" s="96"/>
      <c r="AE134" s="92"/>
      <c r="AF134" s="92"/>
      <c r="AG134" s="32"/>
    </row>
    <row r="135" spans="2:36">
      <c r="B135" s="113">
        <f t="shared" si="13"/>
        <v>100</v>
      </c>
      <c r="C135" s="64" t="s">
        <v>694</v>
      </c>
      <c r="D135" s="64"/>
      <c r="E135" s="64" t="s">
        <v>695</v>
      </c>
      <c r="F135" s="66">
        <v>527</v>
      </c>
      <c r="G135" s="67">
        <f t="shared" si="11"/>
        <v>10527000</v>
      </c>
      <c r="H135" s="278" t="s">
        <v>694</v>
      </c>
      <c r="I135" s="66" t="s">
        <v>232</v>
      </c>
      <c r="J135" s="66" t="s">
        <v>88</v>
      </c>
      <c r="K135" s="66" t="s">
        <v>232</v>
      </c>
      <c r="L135" s="66" t="s">
        <v>245</v>
      </c>
      <c r="M135" s="93">
        <f t="shared" si="14"/>
        <v>970049.7</v>
      </c>
      <c r="N135" s="93">
        <v>100</v>
      </c>
      <c r="O135" s="94">
        <v>9700497</v>
      </c>
      <c r="P135" s="116"/>
      <c r="Q135" s="71"/>
      <c r="R135" s="66"/>
      <c r="S135" s="66"/>
      <c r="T135" s="66" t="s">
        <v>696</v>
      </c>
      <c r="U135" s="78"/>
      <c r="V135" s="79"/>
      <c r="W135" s="78"/>
      <c r="X135" s="78"/>
      <c r="Y135" s="78"/>
      <c r="Z135" s="78"/>
      <c r="AA135" s="78"/>
      <c r="AB135" s="78"/>
      <c r="AC135" s="78"/>
      <c r="AD135" s="96" t="s">
        <v>696</v>
      </c>
      <c r="AE135" s="92"/>
      <c r="AF135" s="92"/>
      <c r="AG135" s="32"/>
    </row>
    <row r="136" spans="2:36">
      <c r="B136" s="113">
        <f t="shared" si="13"/>
        <v>101</v>
      </c>
      <c r="C136" s="64" t="s">
        <v>697</v>
      </c>
      <c r="D136" s="64" t="s">
        <v>698</v>
      </c>
      <c r="E136" s="64"/>
      <c r="F136" s="66">
        <v>331</v>
      </c>
      <c r="G136" s="67">
        <f t="shared" si="11"/>
        <v>10331000</v>
      </c>
      <c r="H136" s="278" t="s">
        <v>697</v>
      </c>
      <c r="I136" s="66" t="s">
        <v>436</v>
      </c>
      <c r="J136" s="66" t="s">
        <v>180</v>
      </c>
      <c r="K136" s="66" t="s">
        <v>436</v>
      </c>
      <c r="L136" s="66" t="s">
        <v>380</v>
      </c>
      <c r="M136" s="93">
        <f t="shared" si="14"/>
        <v>24218.1</v>
      </c>
      <c r="N136" s="93">
        <v>100</v>
      </c>
      <c r="O136" s="94">
        <v>242181</v>
      </c>
      <c r="P136" s="116"/>
      <c r="Q136" s="71"/>
      <c r="R136" s="94"/>
      <c r="S136" s="94" t="s">
        <v>496</v>
      </c>
      <c r="T136" s="94" t="s">
        <v>699</v>
      </c>
      <c r="U136" s="78"/>
      <c r="V136" s="79"/>
      <c r="W136" s="78"/>
      <c r="X136" s="78"/>
      <c r="Y136" s="78"/>
      <c r="Z136" s="78"/>
      <c r="AA136" s="78">
        <v>123180</v>
      </c>
      <c r="AB136" s="79">
        <v>35895</v>
      </c>
      <c r="AC136" s="78">
        <v>221</v>
      </c>
      <c r="AD136" s="80">
        <v>35895</v>
      </c>
      <c r="AE136" s="75"/>
      <c r="AF136" s="75"/>
      <c r="AG136" s="75"/>
      <c r="AH136" s="100"/>
      <c r="AJ136" s="100" t="s">
        <v>700</v>
      </c>
    </row>
    <row r="137" spans="2:36">
      <c r="B137" s="113">
        <f t="shared" si="13"/>
        <v>102</v>
      </c>
      <c r="C137" s="64" t="s">
        <v>701</v>
      </c>
      <c r="D137" s="64" t="s">
        <v>702</v>
      </c>
      <c r="E137" s="64"/>
      <c r="F137" s="66">
        <v>409</v>
      </c>
      <c r="G137" s="67">
        <f t="shared" si="11"/>
        <v>10409000</v>
      </c>
      <c r="H137" s="278" t="s">
        <v>701</v>
      </c>
      <c r="I137" s="66" t="s">
        <v>436</v>
      </c>
      <c r="J137" s="66" t="s">
        <v>181</v>
      </c>
      <c r="K137" s="66" t="s">
        <v>436</v>
      </c>
      <c r="L137" s="66" t="s">
        <v>380</v>
      </c>
      <c r="M137" s="93">
        <f t="shared" si="14"/>
        <v>11743.7</v>
      </c>
      <c r="N137" s="93">
        <v>100</v>
      </c>
      <c r="O137" s="94">
        <v>117437</v>
      </c>
      <c r="P137" s="114"/>
      <c r="Q137" s="71"/>
      <c r="R137" s="94"/>
      <c r="S137" s="94" t="s">
        <v>496</v>
      </c>
      <c r="T137" s="94" t="s">
        <v>703</v>
      </c>
      <c r="U137" s="78">
        <v>92775.2</v>
      </c>
      <c r="V137" s="78"/>
      <c r="W137" s="78"/>
      <c r="X137" s="78"/>
      <c r="Y137" s="78"/>
      <c r="Z137" s="78"/>
      <c r="AA137" s="78">
        <v>38754</v>
      </c>
      <c r="AB137" s="79">
        <v>35902</v>
      </c>
      <c r="AC137" s="78">
        <v>242</v>
      </c>
      <c r="AD137" s="80">
        <v>35913</v>
      </c>
      <c r="AE137" s="75"/>
      <c r="AF137" s="75"/>
      <c r="AG137" s="32"/>
    </row>
    <row r="138" spans="2:36">
      <c r="B138" s="113">
        <f t="shared" si="13"/>
        <v>103</v>
      </c>
      <c r="C138" s="64" t="s">
        <v>704</v>
      </c>
      <c r="D138" s="64" t="s">
        <v>705</v>
      </c>
      <c r="E138" s="64"/>
      <c r="F138" s="66">
        <v>98</v>
      </c>
      <c r="G138" s="67">
        <f t="shared" si="11"/>
        <v>10098000</v>
      </c>
      <c r="H138" s="278" t="s">
        <v>704</v>
      </c>
      <c r="I138" s="66" t="s">
        <v>552</v>
      </c>
      <c r="J138" s="66" t="s">
        <v>195</v>
      </c>
      <c r="K138" s="66" t="s">
        <v>552</v>
      </c>
      <c r="L138" s="66" t="s">
        <v>245</v>
      </c>
      <c r="M138" s="93">
        <f t="shared" si="14"/>
        <v>9550.4</v>
      </c>
      <c r="N138" s="93">
        <v>100</v>
      </c>
      <c r="O138" s="94">
        <v>95504</v>
      </c>
      <c r="P138" s="114"/>
      <c r="Q138" s="71"/>
      <c r="R138" s="94"/>
      <c r="S138" s="94" t="s">
        <v>553</v>
      </c>
      <c r="T138" s="94" t="s">
        <v>629</v>
      </c>
      <c r="U138" s="78"/>
      <c r="V138" s="78"/>
      <c r="W138" s="78"/>
      <c r="X138" s="78"/>
      <c r="Y138" s="78"/>
      <c r="Z138" s="78"/>
      <c r="AA138" s="78">
        <v>45797</v>
      </c>
      <c r="AB138" s="79">
        <v>36132</v>
      </c>
      <c r="AC138" s="78">
        <v>847</v>
      </c>
      <c r="AD138" s="80">
        <v>36145</v>
      </c>
      <c r="AE138" s="75"/>
      <c r="AF138" s="75"/>
      <c r="AG138" s="32"/>
    </row>
    <row r="139" spans="2:36">
      <c r="B139" s="113">
        <f t="shared" si="13"/>
        <v>104</v>
      </c>
      <c r="C139" s="64" t="s">
        <v>706</v>
      </c>
      <c r="D139" s="64" t="s">
        <v>707</v>
      </c>
      <c r="E139" s="64"/>
      <c r="F139" s="66">
        <v>389</v>
      </c>
      <c r="G139" s="67">
        <f t="shared" si="11"/>
        <v>10389000</v>
      </c>
      <c r="H139" s="278" t="s">
        <v>706</v>
      </c>
      <c r="I139" s="66" t="s">
        <v>708</v>
      </c>
      <c r="J139" s="66" t="s">
        <v>196</v>
      </c>
      <c r="K139" s="66" t="s">
        <v>708</v>
      </c>
      <c r="L139" s="66" t="s">
        <v>380</v>
      </c>
      <c r="M139" s="93">
        <f t="shared" si="14"/>
        <v>11187.9</v>
      </c>
      <c r="N139" s="93">
        <v>100</v>
      </c>
      <c r="O139" s="94">
        <v>111879</v>
      </c>
      <c r="P139" s="114"/>
      <c r="Q139" s="71"/>
      <c r="R139" s="94"/>
      <c r="S139" s="94" t="s">
        <v>709</v>
      </c>
      <c r="T139" s="94" t="s">
        <v>710</v>
      </c>
      <c r="U139" s="78">
        <v>36841.599999999999</v>
      </c>
      <c r="V139" s="78"/>
      <c r="W139" s="78" t="s">
        <v>711</v>
      </c>
      <c r="X139" s="79">
        <v>35537</v>
      </c>
      <c r="Y139" s="78"/>
      <c r="Z139" s="78">
        <v>123287</v>
      </c>
      <c r="AA139" s="78">
        <v>70347</v>
      </c>
      <c r="AB139" s="79">
        <v>35881</v>
      </c>
      <c r="AC139" s="78">
        <v>369</v>
      </c>
      <c r="AD139" s="80">
        <v>35990</v>
      </c>
      <c r="AE139" s="75"/>
      <c r="AF139" s="75"/>
      <c r="AG139" s="32" t="s">
        <v>712</v>
      </c>
    </row>
    <row r="140" spans="2:36">
      <c r="B140" s="113">
        <f t="shared" si="13"/>
        <v>105</v>
      </c>
      <c r="C140" s="64" t="s">
        <v>713</v>
      </c>
      <c r="D140" s="64" t="s">
        <v>714</v>
      </c>
      <c r="E140" s="64"/>
      <c r="F140" s="66">
        <v>248</v>
      </c>
      <c r="G140" s="67">
        <f t="shared" si="11"/>
        <v>10248000</v>
      </c>
      <c r="H140" s="278" t="s">
        <v>713</v>
      </c>
      <c r="I140" s="66" t="s">
        <v>286</v>
      </c>
      <c r="J140" s="66" t="s">
        <v>715</v>
      </c>
      <c r="K140" s="66" t="s">
        <v>286</v>
      </c>
      <c r="L140" s="66" t="s">
        <v>245</v>
      </c>
      <c r="M140" s="93">
        <f t="shared" si="14"/>
        <v>30523.4</v>
      </c>
      <c r="N140" s="93">
        <v>100</v>
      </c>
      <c r="O140" s="94">
        <v>305234</v>
      </c>
      <c r="P140" s="155"/>
      <c r="Q140" s="71"/>
      <c r="R140" s="94" t="s">
        <v>677</v>
      </c>
      <c r="S140" s="94" t="s">
        <v>677</v>
      </c>
      <c r="T140" s="94" t="s">
        <v>716</v>
      </c>
      <c r="U140" s="78"/>
      <c r="V140" s="78"/>
      <c r="W140" s="78"/>
      <c r="X140" s="78"/>
      <c r="Y140" s="78"/>
      <c r="Z140" s="78"/>
      <c r="AA140" s="78"/>
      <c r="AB140" s="78"/>
      <c r="AC140" s="95"/>
      <c r="AD140" s="96"/>
      <c r="AE140" s="92"/>
      <c r="AF140" s="92"/>
      <c r="AG140" s="32"/>
    </row>
    <row r="141" spans="2:36">
      <c r="B141" s="113">
        <f t="shared" si="13"/>
        <v>106</v>
      </c>
      <c r="C141" s="64" t="s">
        <v>717</v>
      </c>
      <c r="D141" s="64" t="s">
        <v>718</v>
      </c>
      <c r="E141" s="64" t="s">
        <v>719</v>
      </c>
      <c r="F141" s="66">
        <v>530</v>
      </c>
      <c r="G141" s="67">
        <f t="shared" si="11"/>
        <v>10530000</v>
      </c>
      <c r="H141" s="278" t="s">
        <v>717</v>
      </c>
      <c r="I141" s="66" t="s">
        <v>232</v>
      </c>
      <c r="J141" s="66" t="s">
        <v>90</v>
      </c>
      <c r="K141" s="66" t="s">
        <v>232</v>
      </c>
      <c r="L141" s="66" t="s">
        <v>350</v>
      </c>
      <c r="M141" s="93">
        <f t="shared" si="14"/>
        <v>7867946.4000000004</v>
      </c>
      <c r="N141" s="93">
        <v>100</v>
      </c>
      <c r="O141" s="94">
        <f>127642623-48963159</f>
        <v>78679464</v>
      </c>
      <c r="P141" s="155"/>
      <c r="Q141" s="71"/>
      <c r="R141" s="94"/>
      <c r="S141" s="94" t="s">
        <v>720</v>
      </c>
      <c r="T141" s="94" t="s">
        <v>721</v>
      </c>
      <c r="U141" s="78"/>
      <c r="V141" s="78"/>
      <c r="W141" s="78"/>
      <c r="X141" s="78"/>
      <c r="Y141" s="78"/>
      <c r="Z141" s="78"/>
      <c r="AA141" s="78"/>
      <c r="AB141" s="78"/>
      <c r="AC141" s="95"/>
      <c r="AD141" s="96"/>
      <c r="AE141" s="92"/>
      <c r="AF141" s="92"/>
      <c r="AG141" s="32"/>
    </row>
    <row r="142" spans="2:36">
      <c r="B142" s="113">
        <f t="shared" si="13"/>
        <v>107</v>
      </c>
      <c r="C142" s="64" t="s">
        <v>722</v>
      </c>
      <c r="D142" s="64" t="s">
        <v>723</v>
      </c>
      <c r="E142" s="64"/>
      <c r="F142" s="66">
        <v>317</v>
      </c>
      <c r="G142" s="67">
        <f t="shared" si="11"/>
        <v>10317000</v>
      </c>
      <c r="H142" s="278" t="s">
        <v>722</v>
      </c>
      <c r="I142" s="66" t="s">
        <v>244</v>
      </c>
      <c r="J142" s="66" t="s">
        <v>183</v>
      </c>
      <c r="K142" s="66" t="s">
        <v>244</v>
      </c>
      <c r="L142" s="66" t="s">
        <v>259</v>
      </c>
      <c r="M142" s="93">
        <f t="shared" si="14"/>
        <v>4633460.2</v>
      </c>
      <c r="N142" s="93">
        <v>100</v>
      </c>
      <c r="O142" s="94">
        <f>170126*177+16222300</f>
        <v>46334602</v>
      </c>
      <c r="P142" s="116"/>
      <c r="Q142" s="71"/>
      <c r="R142" s="66"/>
      <c r="S142" s="66" t="s">
        <v>292</v>
      </c>
      <c r="T142" s="66" t="s">
        <v>724</v>
      </c>
      <c r="U142" s="78"/>
      <c r="V142" s="78"/>
      <c r="W142" s="78"/>
      <c r="X142" s="78"/>
      <c r="Y142" s="78"/>
      <c r="Z142" s="78"/>
      <c r="AA142" s="78"/>
      <c r="AB142" s="78"/>
      <c r="AC142" s="78"/>
      <c r="AD142" s="96"/>
      <c r="AE142" s="92"/>
      <c r="AF142" s="92"/>
      <c r="AG142" s="32"/>
    </row>
    <row r="143" spans="2:36">
      <c r="B143" s="113">
        <f t="shared" si="13"/>
        <v>108</v>
      </c>
      <c r="C143" s="64" t="s">
        <v>725</v>
      </c>
      <c r="D143" s="64" t="s">
        <v>726</v>
      </c>
      <c r="E143" s="64"/>
      <c r="F143" s="66">
        <v>97</v>
      </c>
      <c r="G143" s="67">
        <f t="shared" si="11"/>
        <v>10097000</v>
      </c>
      <c r="H143" s="278" t="s">
        <v>725</v>
      </c>
      <c r="I143" s="66" t="s">
        <v>232</v>
      </c>
      <c r="J143" s="66" t="s">
        <v>110</v>
      </c>
      <c r="K143" s="66" t="s">
        <v>232</v>
      </c>
      <c r="L143" s="66" t="s">
        <v>350</v>
      </c>
      <c r="M143" s="93">
        <f t="shared" si="14"/>
        <v>89138.8</v>
      </c>
      <c r="N143" s="93">
        <v>100</v>
      </c>
      <c r="O143" s="94">
        <v>891388</v>
      </c>
      <c r="P143" s="116"/>
      <c r="Q143" s="71"/>
      <c r="R143" s="66"/>
      <c r="S143" s="66" t="s">
        <v>292</v>
      </c>
      <c r="T143" s="66" t="s">
        <v>727</v>
      </c>
      <c r="U143" s="78"/>
      <c r="V143" s="78"/>
      <c r="W143" s="78"/>
      <c r="X143" s="78"/>
      <c r="Y143" s="78"/>
      <c r="Z143" s="78"/>
      <c r="AA143" s="78"/>
      <c r="AB143" s="78"/>
      <c r="AC143" s="78"/>
      <c r="AD143" s="96"/>
      <c r="AE143" s="92"/>
      <c r="AF143" s="92"/>
      <c r="AG143" s="32"/>
    </row>
    <row r="144" spans="2:36">
      <c r="B144" s="113">
        <f t="shared" si="13"/>
        <v>109</v>
      </c>
      <c r="C144" s="64" t="s">
        <v>728</v>
      </c>
      <c r="D144" s="64" t="s">
        <v>729</v>
      </c>
      <c r="E144" s="64"/>
      <c r="F144" s="66">
        <v>54</v>
      </c>
      <c r="G144" s="67">
        <f t="shared" si="11"/>
        <v>10054000</v>
      </c>
      <c r="H144" s="278" t="s">
        <v>728</v>
      </c>
      <c r="I144" s="66" t="s">
        <v>232</v>
      </c>
      <c r="J144" s="66" t="s">
        <v>184</v>
      </c>
      <c r="K144" s="66" t="s">
        <v>232</v>
      </c>
      <c r="L144" s="66" t="s">
        <v>259</v>
      </c>
      <c r="M144" s="93">
        <f t="shared" si="14"/>
        <v>192907.3</v>
      </c>
      <c r="N144" s="93">
        <v>100</v>
      </c>
      <c r="O144" s="94">
        <v>1929073</v>
      </c>
      <c r="P144" s="114"/>
      <c r="Q144" s="71"/>
      <c r="R144" s="94"/>
      <c r="S144" s="94" t="s">
        <v>292</v>
      </c>
      <c r="T144" s="94" t="s">
        <v>730</v>
      </c>
      <c r="U144" s="78">
        <v>137253.6</v>
      </c>
      <c r="V144" s="79" t="s">
        <v>731</v>
      </c>
      <c r="W144" s="78"/>
      <c r="X144" s="79">
        <v>35753</v>
      </c>
      <c r="Y144" s="99">
        <v>-107780.8</v>
      </c>
      <c r="Z144" s="78">
        <v>-1077808</v>
      </c>
      <c r="AA144" s="129"/>
      <c r="AB144" s="78"/>
      <c r="AC144" s="95"/>
      <c r="AD144" s="80">
        <v>36122</v>
      </c>
      <c r="AE144" s="75"/>
      <c r="AF144" s="75"/>
      <c r="AG144" s="32"/>
    </row>
    <row r="145" spans="2:40">
      <c r="B145" s="113">
        <f t="shared" si="13"/>
        <v>110</v>
      </c>
      <c r="C145" s="64" t="s">
        <v>732</v>
      </c>
      <c r="D145" s="64" t="s">
        <v>733</v>
      </c>
      <c r="E145" s="64"/>
      <c r="F145" s="66">
        <v>420</v>
      </c>
      <c r="G145" s="67">
        <f t="shared" si="11"/>
        <v>10420000</v>
      </c>
      <c r="H145" s="278" t="s">
        <v>732</v>
      </c>
      <c r="I145" s="66" t="s">
        <v>688</v>
      </c>
      <c r="J145" s="66" t="s">
        <v>116</v>
      </c>
      <c r="K145" s="66" t="s">
        <v>688</v>
      </c>
      <c r="L145" s="66" t="s">
        <v>245</v>
      </c>
      <c r="M145" s="93">
        <f t="shared" si="14"/>
        <v>30524.799999999999</v>
      </c>
      <c r="N145" s="93">
        <v>100</v>
      </c>
      <c r="O145" s="94">
        <v>305248</v>
      </c>
      <c r="P145" s="116"/>
      <c r="Q145" s="71"/>
      <c r="R145" s="94"/>
      <c r="S145" s="94" t="s">
        <v>689</v>
      </c>
      <c r="T145" s="94" t="s">
        <v>734</v>
      </c>
      <c r="U145" s="78"/>
      <c r="V145" s="78" t="s">
        <v>735</v>
      </c>
      <c r="W145" s="78" t="s">
        <v>234</v>
      </c>
      <c r="X145" s="78"/>
      <c r="Y145" s="78"/>
      <c r="Z145" s="78"/>
      <c r="AA145" s="78"/>
      <c r="AB145" s="78"/>
      <c r="AC145" s="78"/>
      <c r="AD145" s="96"/>
      <c r="AE145" s="92"/>
      <c r="AF145" s="92"/>
      <c r="AG145" s="32" t="s">
        <v>736</v>
      </c>
    </row>
    <row r="146" spans="2:40">
      <c r="B146" s="113">
        <f t="shared" si="13"/>
        <v>111</v>
      </c>
      <c r="C146" s="64" t="s">
        <v>737</v>
      </c>
      <c r="D146" s="64" t="s">
        <v>738</v>
      </c>
      <c r="E146" s="64"/>
      <c r="F146" s="66">
        <v>269</v>
      </c>
      <c r="G146" s="67">
        <f t="shared" si="11"/>
        <v>10269000</v>
      </c>
      <c r="H146" s="278" t="s">
        <v>737</v>
      </c>
      <c r="I146" s="66" t="s">
        <v>739</v>
      </c>
      <c r="J146" s="66" t="s">
        <v>740</v>
      </c>
      <c r="K146" s="66" t="s">
        <v>739</v>
      </c>
      <c r="L146" s="66" t="s">
        <v>233</v>
      </c>
      <c r="M146" s="93">
        <f t="shared" si="14"/>
        <v>162780.70000000001</v>
      </c>
      <c r="N146" s="93">
        <v>100</v>
      </c>
      <c r="O146" s="94">
        <f>97607+1530200</f>
        <v>1627807</v>
      </c>
      <c r="P146" s="70"/>
      <c r="Q146" s="71"/>
      <c r="R146" s="94" t="s">
        <v>739</v>
      </c>
      <c r="S146" s="94" t="s">
        <v>741</v>
      </c>
      <c r="T146" s="94" t="s">
        <v>716</v>
      </c>
      <c r="U146" s="78"/>
      <c r="V146" s="78"/>
      <c r="W146" s="78"/>
      <c r="X146" s="78"/>
      <c r="Y146" s="78"/>
      <c r="Z146" s="78"/>
      <c r="AA146" s="78"/>
      <c r="AB146" s="78"/>
      <c r="AC146" s="95"/>
      <c r="AD146" s="96"/>
      <c r="AE146" s="92"/>
      <c r="AF146" s="92"/>
      <c r="AG146" s="32" t="s">
        <v>742</v>
      </c>
    </row>
    <row r="147" spans="2:40">
      <c r="B147" s="113">
        <f t="shared" si="13"/>
        <v>112</v>
      </c>
      <c r="C147" s="64" t="s">
        <v>743</v>
      </c>
      <c r="D147" s="64" t="s">
        <v>744</v>
      </c>
      <c r="E147" s="64"/>
      <c r="F147" s="66">
        <v>385</v>
      </c>
      <c r="G147" s="67">
        <f t="shared" si="11"/>
        <v>10385000</v>
      </c>
      <c r="H147" s="278" t="s">
        <v>743</v>
      </c>
      <c r="I147" s="66" t="s">
        <v>244</v>
      </c>
      <c r="J147" s="66" t="s">
        <v>185</v>
      </c>
      <c r="K147" s="66" t="s">
        <v>244</v>
      </c>
      <c r="L147" s="66" t="s">
        <v>380</v>
      </c>
      <c r="M147" s="93">
        <f t="shared" si="14"/>
        <v>1373575.2</v>
      </c>
      <c r="N147" s="93">
        <v>100</v>
      </c>
      <c r="O147" s="94">
        <f>136487+13599265</f>
        <v>13735752</v>
      </c>
      <c r="P147" s="116"/>
      <c r="Q147" s="71"/>
      <c r="R147" s="94"/>
      <c r="S147" s="94" t="s">
        <v>513</v>
      </c>
      <c r="T147" s="94" t="s">
        <v>745</v>
      </c>
      <c r="U147" s="78"/>
      <c r="V147" s="78"/>
      <c r="W147" s="78"/>
      <c r="X147" s="78"/>
      <c r="Y147" s="78"/>
      <c r="Z147" s="78"/>
      <c r="AA147" s="78">
        <v>61447</v>
      </c>
      <c r="AB147" s="79">
        <v>35902</v>
      </c>
      <c r="AC147" s="78">
        <v>244</v>
      </c>
      <c r="AD147" s="80">
        <v>35907</v>
      </c>
      <c r="AE147" s="75"/>
      <c r="AF147" s="75"/>
      <c r="AG147" s="32" t="s">
        <v>746</v>
      </c>
    </row>
    <row r="148" spans="2:40">
      <c r="B148" s="113">
        <f t="shared" si="13"/>
        <v>113</v>
      </c>
      <c r="C148" s="64" t="s">
        <v>747</v>
      </c>
      <c r="D148" s="64" t="s">
        <v>748</v>
      </c>
      <c r="E148" s="64"/>
      <c r="F148" s="66">
        <v>135</v>
      </c>
      <c r="G148" s="67">
        <f t="shared" si="11"/>
        <v>10135000</v>
      </c>
      <c r="H148" s="278" t="s">
        <v>747</v>
      </c>
      <c r="I148" s="66" t="s">
        <v>232</v>
      </c>
      <c r="J148" s="66" t="s">
        <v>29</v>
      </c>
      <c r="K148" s="66" t="s">
        <v>232</v>
      </c>
      <c r="L148" s="66" t="s">
        <v>350</v>
      </c>
      <c r="M148" s="93">
        <f t="shared" si="14"/>
        <v>34400</v>
      </c>
      <c r="N148" s="93">
        <f>100/1000</f>
        <v>0.1</v>
      </c>
      <c r="O148" s="94">
        <f>344000*1000</f>
        <v>344000000</v>
      </c>
      <c r="P148" s="70"/>
      <c r="Q148" s="71"/>
      <c r="R148" s="94"/>
      <c r="S148" s="94" t="s">
        <v>323</v>
      </c>
      <c r="T148" s="94" t="s">
        <v>749</v>
      </c>
      <c r="U148" s="78"/>
      <c r="V148" s="78"/>
      <c r="W148" s="78"/>
      <c r="X148" s="78"/>
      <c r="Y148" s="78"/>
      <c r="Z148" s="78"/>
      <c r="AA148" s="78"/>
      <c r="AB148" s="78"/>
      <c r="AC148" s="95"/>
      <c r="AD148" s="96"/>
      <c r="AE148" s="97"/>
      <c r="AF148" s="92"/>
      <c r="AG148" s="32" t="s">
        <v>750</v>
      </c>
    </row>
    <row r="149" spans="2:40">
      <c r="B149" s="113">
        <f t="shared" si="13"/>
        <v>114</v>
      </c>
      <c r="C149" s="64" t="s">
        <v>751</v>
      </c>
      <c r="D149" s="64" t="s">
        <v>752</v>
      </c>
      <c r="E149" s="64"/>
      <c r="F149" s="66">
        <v>110</v>
      </c>
      <c r="G149" s="67">
        <f t="shared" si="11"/>
        <v>10110000</v>
      </c>
      <c r="H149" s="278" t="s">
        <v>751</v>
      </c>
      <c r="I149" s="66" t="s">
        <v>436</v>
      </c>
      <c r="J149" s="66" t="s">
        <v>25</v>
      </c>
      <c r="K149" s="66" t="s">
        <v>436</v>
      </c>
      <c r="L149" s="66" t="s">
        <v>259</v>
      </c>
      <c r="M149" s="93">
        <f t="shared" si="14"/>
        <v>21495.599999999999</v>
      </c>
      <c r="N149" s="93">
        <v>100</v>
      </c>
      <c r="O149" s="94">
        <v>214956</v>
      </c>
      <c r="P149" s="116"/>
      <c r="Q149" s="71"/>
      <c r="R149" s="66"/>
      <c r="S149" s="66" t="s">
        <v>292</v>
      </c>
      <c r="T149" s="66" t="s">
        <v>753</v>
      </c>
      <c r="U149" s="78"/>
      <c r="V149" s="78"/>
      <c r="W149" s="78"/>
      <c r="X149" s="78"/>
      <c r="Y149" s="78"/>
      <c r="Z149" s="78"/>
      <c r="AA149" s="78"/>
      <c r="AB149" s="78"/>
      <c r="AC149" s="78"/>
      <c r="AD149" s="96"/>
      <c r="AE149" s="92"/>
      <c r="AF149" s="92"/>
      <c r="AG149" s="32"/>
    </row>
    <row r="150" spans="2:40">
      <c r="B150" s="113">
        <f t="shared" si="13"/>
        <v>115</v>
      </c>
      <c r="C150" s="64" t="s">
        <v>754</v>
      </c>
      <c r="D150" s="64" t="s">
        <v>755</v>
      </c>
      <c r="E150" s="64"/>
      <c r="F150" s="66">
        <v>118</v>
      </c>
      <c r="G150" s="67">
        <f t="shared" si="11"/>
        <v>10118000</v>
      </c>
      <c r="H150" s="278" t="s">
        <v>754</v>
      </c>
      <c r="I150" s="66" t="s">
        <v>436</v>
      </c>
      <c r="J150" s="66" t="s">
        <v>26</v>
      </c>
      <c r="K150" s="66" t="s">
        <v>436</v>
      </c>
      <c r="L150" s="66" t="s">
        <v>259</v>
      </c>
      <c r="M150" s="93">
        <f t="shared" si="14"/>
        <v>9736</v>
      </c>
      <c r="N150" s="93">
        <v>100</v>
      </c>
      <c r="O150" s="94">
        <v>97360</v>
      </c>
      <c r="P150" s="116"/>
      <c r="Q150" s="71"/>
      <c r="R150" s="66"/>
      <c r="S150" s="66" t="s">
        <v>292</v>
      </c>
      <c r="T150" s="66" t="s">
        <v>756</v>
      </c>
      <c r="U150" s="78"/>
      <c r="V150" s="78"/>
      <c r="W150" s="78"/>
      <c r="X150" s="78"/>
      <c r="Y150" s="78"/>
      <c r="Z150" s="78"/>
      <c r="AA150" s="78"/>
      <c r="AB150" s="78"/>
      <c r="AC150" s="78"/>
      <c r="AD150" s="96"/>
      <c r="AE150" s="92"/>
      <c r="AF150" s="92"/>
      <c r="AG150" s="32"/>
    </row>
    <row r="151" spans="2:40">
      <c r="B151" s="113">
        <f t="shared" si="13"/>
        <v>116</v>
      </c>
      <c r="C151" s="64" t="s">
        <v>757</v>
      </c>
      <c r="D151" s="64" t="s">
        <v>758</v>
      </c>
      <c r="E151" s="64"/>
      <c r="F151" s="66">
        <v>414</v>
      </c>
      <c r="G151" s="67">
        <f t="shared" si="11"/>
        <v>10414000</v>
      </c>
      <c r="H151" s="278" t="s">
        <v>757</v>
      </c>
      <c r="I151" s="66" t="s">
        <v>436</v>
      </c>
      <c r="J151" s="66" t="s">
        <v>182</v>
      </c>
      <c r="K151" s="66" t="s">
        <v>436</v>
      </c>
      <c r="L151" s="66" t="s">
        <v>380</v>
      </c>
      <c r="M151" s="93">
        <f t="shared" si="14"/>
        <v>11527.1</v>
      </c>
      <c r="N151" s="93">
        <v>100</v>
      </c>
      <c r="O151" s="94">
        <v>115271</v>
      </c>
      <c r="P151" s="70"/>
      <c r="Q151" s="71"/>
      <c r="R151" s="94" t="s">
        <v>759</v>
      </c>
      <c r="S151" s="94" t="s">
        <v>496</v>
      </c>
      <c r="T151" s="94" t="s">
        <v>760</v>
      </c>
      <c r="U151" s="78"/>
      <c r="V151" s="78"/>
      <c r="W151" s="78"/>
      <c r="X151" s="78"/>
      <c r="Y151" s="78"/>
      <c r="Z151" s="78"/>
      <c r="AA151" s="78"/>
      <c r="AB151" s="78"/>
      <c r="AC151" s="95"/>
      <c r="AD151" s="96"/>
      <c r="AE151" s="97"/>
      <c r="AF151" s="92"/>
      <c r="AG151" s="32"/>
    </row>
    <row r="152" spans="2:40">
      <c r="B152" s="113">
        <f t="shared" si="13"/>
        <v>117</v>
      </c>
      <c r="C152" s="64" t="s">
        <v>761</v>
      </c>
      <c r="D152" s="64" t="s">
        <v>762</v>
      </c>
      <c r="E152" s="64"/>
      <c r="F152" s="66">
        <v>214</v>
      </c>
      <c r="G152" s="67">
        <f t="shared" si="11"/>
        <v>10214000</v>
      </c>
      <c r="H152" s="278" t="s">
        <v>761</v>
      </c>
      <c r="I152" s="66" t="s">
        <v>232</v>
      </c>
      <c r="J152" s="66" t="s">
        <v>186</v>
      </c>
      <c r="K152" s="66" t="s">
        <v>232</v>
      </c>
      <c r="L152" s="66" t="s">
        <v>233</v>
      </c>
      <c r="M152" s="93">
        <f t="shared" si="14"/>
        <v>11473.7</v>
      </c>
      <c r="N152" s="93">
        <v>100</v>
      </c>
      <c r="O152" s="94">
        <v>114737</v>
      </c>
      <c r="P152" s="116"/>
      <c r="Q152" s="71"/>
      <c r="R152" s="66"/>
      <c r="S152" s="66" t="s">
        <v>292</v>
      </c>
      <c r="T152" s="66" t="s">
        <v>763</v>
      </c>
      <c r="U152" s="78"/>
      <c r="V152" s="78"/>
      <c r="W152" s="78"/>
      <c r="X152" s="78"/>
      <c r="Y152" s="78"/>
      <c r="Z152" s="78"/>
      <c r="AA152" s="78"/>
      <c r="AB152" s="78"/>
      <c r="AC152" s="78"/>
      <c r="AD152" s="96"/>
      <c r="AE152" s="92"/>
      <c r="AF152" s="92"/>
      <c r="AG152" s="32"/>
    </row>
    <row r="153" spans="2:40">
      <c r="B153" s="113">
        <f t="shared" si="13"/>
        <v>118</v>
      </c>
      <c r="C153" s="64" t="s">
        <v>764</v>
      </c>
      <c r="D153" s="64" t="s">
        <v>765</v>
      </c>
      <c r="E153" s="64"/>
      <c r="F153" s="66">
        <v>41</v>
      </c>
      <c r="G153" s="67">
        <f t="shared" si="11"/>
        <v>10041000</v>
      </c>
      <c r="H153" s="278" t="s">
        <v>764</v>
      </c>
      <c r="I153" s="66" t="s">
        <v>232</v>
      </c>
      <c r="J153" s="66" t="s">
        <v>187</v>
      </c>
      <c r="K153" s="66" t="s">
        <v>232</v>
      </c>
      <c r="L153" s="66" t="s">
        <v>233</v>
      </c>
      <c r="M153" s="93">
        <f t="shared" si="14"/>
        <v>12275.4</v>
      </c>
      <c r="N153" s="93">
        <v>100</v>
      </c>
      <c r="O153" s="94">
        <v>122754</v>
      </c>
      <c r="P153" s="116"/>
      <c r="Q153" s="71"/>
      <c r="R153" s="66"/>
      <c r="S153" s="66" t="s">
        <v>292</v>
      </c>
      <c r="T153" s="66" t="s">
        <v>766</v>
      </c>
      <c r="U153" s="78">
        <v>15319.6</v>
      </c>
      <c r="V153" s="78"/>
      <c r="W153" s="78"/>
      <c r="X153" s="78"/>
      <c r="Y153" s="78"/>
      <c r="Z153" s="78"/>
      <c r="AA153" s="78"/>
      <c r="AB153" s="78"/>
      <c r="AC153" s="78"/>
      <c r="AD153" s="96"/>
      <c r="AE153" s="92"/>
      <c r="AF153" s="92"/>
      <c r="AG153" s="32"/>
    </row>
    <row r="154" spans="2:40">
      <c r="B154" s="113">
        <f t="shared" si="13"/>
        <v>119</v>
      </c>
      <c r="C154" s="64" t="s">
        <v>767</v>
      </c>
      <c r="D154" s="64" t="s">
        <v>768</v>
      </c>
      <c r="E154" s="64"/>
      <c r="F154" s="66">
        <v>464</v>
      </c>
      <c r="G154" s="67">
        <f t="shared" si="11"/>
        <v>10464000</v>
      </c>
      <c r="H154" s="278" t="s">
        <v>767</v>
      </c>
      <c r="I154" s="66" t="s">
        <v>769</v>
      </c>
      <c r="J154" s="66" t="s">
        <v>72</v>
      </c>
      <c r="K154" s="66" t="s">
        <v>769</v>
      </c>
      <c r="L154" s="66" t="s">
        <v>259</v>
      </c>
      <c r="M154" s="93">
        <f t="shared" si="14"/>
        <v>69426.399999999994</v>
      </c>
      <c r="N154" s="93">
        <v>100</v>
      </c>
      <c r="O154" s="94">
        <v>694264</v>
      </c>
      <c r="P154" s="114"/>
      <c r="Q154" s="71"/>
      <c r="R154" s="94"/>
      <c r="S154" s="94" t="s">
        <v>770</v>
      </c>
      <c r="T154" s="94" t="s">
        <v>771</v>
      </c>
      <c r="U154" s="78"/>
      <c r="V154" s="78"/>
      <c r="W154" s="78"/>
      <c r="X154" s="78"/>
      <c r="Y154" s="78"/>
      <c r="Z154" s="78"/>
      <c r="AA154" s="78">
        <v>485985</v>
      </c>
      <c r="AB154" s="79">
        <v>36167</v>
      </c>
      <c r="AC154" s="78">
        <v>24</v>
      </c>
      <c r="AD154" s="80">
        <v>36185</v>
      </c>
      <c r="AE154" s="75"/>
      <c r="AF154" s="75"/>
      <c r="AG154" s="32"/>
    </row>
    <row r="155" spans="2:40">
      <c r="B155" s="113">
        <f t="shared" si="13"/>
        <v>120</v>
      </c>
      <c r="C155" s="64" t="s">
        <v>772</v>
      </c>
      <c r="D155" s="64" t="s">
        <v>773</v>
      </c>
      <c r="E155" s="64"/>
      <c r="F155" s="66">
        <v>22</v>
      </c>
      <c r="G155" s="67">
        <f t="shared" si="11"/>
        <v>10022000</v>
      </c>
      <c r="H155" s="278" t="s">
        <v>772</v>
      </c>
      <c r="I155" s="66" t="s">
        <v>232</v>
      </c>
      <c r="J155" s="66" t="s">
        <v>42</v>
      </c>
      <c r="K155" s="66" t="s">
        <v>232</v>
      </c>
      <c r="L155" s="66" t="s">
        <v>350</v>
      </c>
      <c r="M155" s="93">
        <f t="shared" si="14"/>
        <v>102370.3</v>
      </c>
      <c r="N155" s="93">
        <v>100</v>
      </c>
      <c r="O155" s="94">
        <v>1023703</v>
      </c>
      <c r="P155" s="114"/>
      <c r="Q155" s="71"/>
      <c r="R155" s="94"/>
      <c r="S155" s="94" t="s">
        <v>292</v>
      </c>
      <c r="T155" s="94" t="s">
        <v>569</v>
      </c>
      <c r="U155" s="78"/>
      <c r="V155" s="78"/>
      <c r="W155" s="78"/>
      <c r="X155" s="78"/>
      <c r="Y155" s="78"/>
      <c r="Z155" s="78"/>
      <c r="AA155" s="78"/>
      <c r="AB155" s="78"/>
      <c r="AC155" s="78"/>
      <c r="AD155" s="96"/>
      <c r="AE155" s="92"/>
      <c r="AF155" s="92"/>
      <c r="AG155" s="32"/>
    </row>
    <row r="156" spans="2:40">
      <c r="B156" s="113">
        <f t="shared" si="13"/>
        <v>121</v>
      </c>
      <c r="C156" s="64" t="s">
        <v>774</v>
      </c>
      <c r="D156" s="64" t="s">
        <v>775</v>
      </c>
      <c r="E156" s="64"/>
      <c r="F156" s="66">
        <v>44</v>
      </c>
      <c r="G156" s="67">
        <f t="shared" si="11"/>
        <v>10044000</v>
      </c>
      <c r="H156" s="278" t="s">
        <v>774</v>
      </c>
      <c r="I156" s="66" t="s">
        <v>232</v>
      </c>
      <c r="J156" s="66" t="s">
        <v>65</v>
      </c>
      <c r="K156" s="66" t="s">
        <v>232</v>
      </c>
      <c r="L156" s="66" t="s">
        <v>350</v>
      </c>
      <c r="M156" s="93">
        <f t="shared" si="14"/>
        <v>199917.144</v>
      </c>
      <c r="N156" s="93">
        <v>168</v>
      </c>
      <c r="O156" s="94">
        <v>1189983</v>
      </c>
      <c r="P156" s="116"/>
      <c r="Q156" s="71"/>
      <c r="R156" s="66"/>
      <c r="S156" s="66" t="s">
        <v>292</v>
      </c>
      <c r="T156" s="66" t="s">
        <v>776</v>
      </c>
      <c r="U156" s="78">
        <v>128044</v>
      </c>
      <c r="V156" s="79">
        <v>35360</v>
      </c>
      <c r="W156" s="78">
        <v>687610</v>
      </c>
      <c r="X156" s="78"/>
      <c r="Y156" s="78"/>
      <c r="Z156" s="78"/>
      <c r="AA156" s="78"/>
      <c r="AB156" s="78"/>
      <c r="AC156" s="78"/>
      <c r="AD156" s="96"/>
      <c r="AE156" s="92"/>
      <c r="AF156" s="92"/>
      <c r="AG156" s="32" t="s">
        <v>777</v>
      </c>
    </row>
    <row r="157" spans="2:40">
      <c r="B157" s="113">
        <f t="shared" si="13"/>
        <v>122</v>
      </c>
      <c r="C157" s="64" t="s">
        <v>778</v>
      </c>
      <c r="D157" s="64" t="s">
        <v>779</v>
      </c>
      <c r="E157" s="64"/>
      <c r="F157" s="66">
        <v>441</v>
      </c>
      <c r="G157" s="67">
        <f t="shared" si="11"/>
        <v>10441000</v>
      </c>
      <c r="H157" s="278" t="s">
        <v>778</v>
      </c>
      <c r="I157" s="66" t="s">
        <v>232</v>
      </c>
      <c r="J157" s="66" t="s">
        <v>64</v>
      </c>
      <c r="K157" s="66" t="s">
        <v>232</v>
      </c>
      <c r="L157" s="66" t="s">
        <v>245</v>
      </c>
      <c r="M157" s="93">
        <f t="shared" si="14"/>
        <v>144675.5</v>
      </c>
      <c r="N157" s="93">
        <v>100</v>
      </c>
      <c r="O157" s="94">
        <v>1446755</v>
      </c>
      <c r="P157" s="114"/>
      <c r="Q157" s="71"/>
      <c r="R157" s="94"/>
      <c r="S157" s="94" t="s">
        <v>292</v>
      </c>
      <c r="T157" s="94" t="s">
        <v>298</v>
      </c>
      <c r="U157" s="78"/>
      <c r="V157" s="78"/>
      <c r="W157" s="78"/>
      <c r="X157" s="78"/>
      <c r="Y157" s="78"/>
      <c r="Z157" s="78"/>
      <c r="AA157" s="78">
        <v>737845</v>
      </c>
      <c r="AB157" s="79">
        <v>36179</v>
      </c>
      <c r="AC157" s="78">
        <v>27</v>
      </c>
      <c r="AD157" s="80">
        <v>36181</v>
      </c>
      <c r="AE157" s="75"/>
      <c r="AF157" s="75"/>
      <c r="AG157" s="32"/>
    </row>
    <row r="158" spans="2:40">
      <c r="B158" s="113">
        <f t="shared" si="13"/>
        <v>123</v>
      </c>
      <c r="C158" s="64" t="s">
        <v>780</v>
      </c>
      <c r="D158" s="64" t="s">
        <v>781</v>
      </c>
      <c r="E158" s="64"/>
      <c r="F158" s="66">
        <v>142</v>
      </c>
      <c r="G158" s="67">
        <f t="shared" si="11"/>
        <v>10142000</v>
      </c>
      <c r="H158" s="278" t="s">
        <v>780</v>
      </c>
      <c r="I158" s="66" t="s">
        <v>232</v>
      </c>
      <c r="J158" s="66" t="s">
        <v>192</v>
      </c>
      <c r="K158" s="66" t="s">
        <v>232</v>
      </c>
      <c r="L158" s="66" t="s">
        <v>259</v>
      </c>
      <c r="M158" s="93">
        <f t="shared" si="14"/>
        <v>7431.8</v>
      </c>
      <c r="N158" s="93">
        <v>100</v>
      </c>
      <c r="O158" s="94">
        <v>74318</v>
      </c>
      <c r="P158" s="116"/>
      <c r="Q158" s="71"/>
      <c r="R158" s="66"/>
      <c r="S158" s="66" t="s">
        <v>292</v>
      </c>
      <c r="T158" s="66" t="s">
        <v>782</v>
      </c>
      <c r="U158" s="78"/>
      <c r="V158" s="78"/>
      <c r="W158" s="78"/>
      <c r="X158" s="78"/>
      <c r="Y158" s="78"/>
      <c r="Z158" s="78"/>
      <c r="AA158" s="78"/>
      <c r="AB158" s="78"/>
      <c r="AC158" s="78"/>
      <c r="AD158" s="96"/>
      <c r="AE158" s="92"/>
      <c r="AF158" s="92"/>
      <c r="AG158" s="32"/>
    </row>
    <row r="159" spans="2:40">
      <c r="B159" s="113">
        <f t="shared" si="13"/>
        <v>124</v>
      </c>
      <c r="C159" s="64" t="s">
        <v>783</v>
      </c>
      <c r="D159" s="64" t="s">
        <v>784</v>
      </c>
      <c r="E159" s="64"/>
      <c r="F159" s="66">
        <v>322</v>
      </c>
      <c r="G159" s="67">
        <f t="shared" si="11"/>
        <v>10322000</v>
      </c>
      <c r="H159" s="278" t="s">
        <v>783</v>
      </c>
      <c r="I159" s="66" t="s">
        <v>349</v>
      </c>
      <c r="J159" s="66" t="s">
        <v>191</v>
      </c>
      <c r="K159" s="66" t="s">
        <v>349</v>
      </c>
      <c r="L159" s="66" t="s">
        <v>233</v>
      </c>
      <c r="M159" s="93">
        <f t="shared" si="14"/>
        <v>26882.9</v>
      </c>
      <c r="N159" s="93">
        <v>100</v>
      </c>
      <c r="O159" s="94">
        <v>268829</v>
      </c>
      <c r="P159" s="114"/>
      <c r="Q159" s="71"/>
      <c r="R159" s="94"/>
      <c r="S159" s="94" t="s">
        <v>351</v>
      </c>
      <c r="T159" s="94" t="s">
        <v>785</v>
      </c>
      <c r="U159" s="78"/>
      <c r="V159" s="78"/>
      <c r="W159" s="78"/>
      <c r="X159" s="78"/>
      <c r="Y159" s="78"/>
      <c r="Z159" s="78"/>
      <c r="AA159" s="78"/>
      <c r="AB159" s="78"/>
      <c r="AC159" s="78"/>
      <c r="AD159" s="96"/>
      <c r="AE159" s="92"/>
      <c r="AF159" s="92"/>
      <c r="AG159" s="32" t="s">
        <v>786</v>
      </c>
      <c r="AN159" s="24" t="s">
        <v>787</v>
      </c>
    </row>
    <row r="160" spans="2:40">
      <c r="B160" s="113">
        <f t="shared" si="13"/>
        <v>125</v>
      </c>
      <c r="C160" s="64" t="s">
        <v>788</v>
      </c>
      <c r="D160" s="64"/>
      <c r="E160" s="156" t="s">
        <v>789</v>
      </c>
      <c r="F160" s="66">
        <v>549</v>
      </c>
      <c r="G160" s="67">
        <f t="shared" si="11"/>
        <v>10549000</v>
      </c>
      <c r="H160" s="278" t="s">
        <v>788</v>
      </c>
      <c r="I160" s="66" t="s">
        <v>232</v>
      </c>
      <c r="J160" s="157" t="s">
        <v>101</v>
      </c>
      <c r="K160" s="66" t="s">
        <v>232</v>
      </c>
      <c r="L160" s="66"/>
      <c r="M160" s="93">
        <f t="shared" si="14"/>
        <v>4000000</v>
      </c>
      <c r="N160" s="93">
        <v>20</v>
      </c>
      <c r="O160" s="94">
        <v>200000000</v>
      </c>
      <c r="P160" s="114"/>
      <c r="Q160" s="71"/>
      <c r="R160" s="94"/>
      <c r="S160" s="94"/>
      <c r="T160" s="94"/>
      <c r="U160" s="78"/>
      <c r="V160" s="78"/>
      <c r="W160" s="78"/>
      <c r="X160" s="78"/>
      <c r="Y160" s="78"/>
      <c r="Z160" s="78"/>
      <c r="AA160" s="78"/>
      <c r="AB160" s="78"/>
      <c r="AC160" s="78"/>
      <c r="AD160" s="96"/>
      <c r="AE160" s="92"/>
      <c r="AF160" s="92"/>
      <c r="AG160" s="32"/>
    </row>
    <row r="161" spans="2:38">
      <c r="B161" s="113">
        <f t="shared" si="13"/>
        <v>126</v>
      </c>
      <c r="C161" s="64" t="s">
        <v>790</v>
      </c>
      <c r="D161" s="64" t="s">
        <v>791</v>
      </c>
      <c r="E161" s="64"/>
      <c r="F161" s="66">
        <v>386</v>
      </c>
      <c r="G161" s="67">
        <f t="shared" si="11"/>
        <v>10386000</v>
      </c>
      <c r="H161" s="278" t="s">
        <v>790</v>
      </c>
      <c r="I161" s="66" t="s">
        <v>244</v>
      </c>
      <c r="J161" s="66" t="s">
        <v>60</v>
      </c>
      <c r="K161" s="66" t="s">
        <v>244</v>
      </c>
      <c r="L161" s="66" t="s">
        <v>259</v>
      </c>
      <c r="M161" s="93">
        <f t="shared" si="14"/>
        <v>43457.7</v>
      </c>
      <c r="N161" s="93">
        <v>10</v>
      </c>
      <c r="O161" s="94">
        <f>434577*10</f>
        <v>4345770</v>
      </c>
      <c r="P161" s="116"/>
      <c r="Q161" s="71"/>
      <c r="R161" s="66"/>
      <c r="S161" s="66" t="s">
        <v>513</v>
      </c>
      <c r="T161" s="66" t="s">
        <v>792</v>
      </c>
      <c r="U161" s="78"/>
      <c r="V161" s="78"/>
      <c r="W161" s="78"/>
      <c r="X161" s="78"/>
      <c r="Y161" s="78"/>
      <c r="Z161" s="78"/>
      <c r="AA161" s="78"/>
      <c r="AB161" s="78"/>
      <c r="AC161" s="78"/>
      <c r="AD161" s="96"/>
      <c r="AE161" s="92"/>
      <c r="AF161" s="92"/>
      <c r="AG161" s="32"/>
    </row>
    <row r="162" spans="2:38">
      <c r="B162" s="113">
        <f t="shared" si="13"/>
        <v>127</v>
      </c>
      <c r="C162" s="64" t="s">
        <v>793</v>
      </c>
      <c r="D162" s="64" t="s">
        <v>794</v>
      </c>
      <c r="E162" s="64"/>
      <c r="F162" s="66">
        <v>188</v>
      </c>
      <c r="G162" s="67">
        <f t="shared" si="11"/>
        <v>10188000</v>
      </c>
      <c r="H162" s="278" t="s">
        <v>793</v>
      </c>
      <c r="I162" s="66" t="s">
        <v>232</v>
      </c>
      <c r="J162" s="66" t="s">
        <v>188</v>
      </c>
      <c r="K162" s="66" t="s">
        <v>232</v>
      </c>
      <c r="L162" s="66" t="s">
        <v>233</v>
      </c>
      <c r="M162" s="93">
        <f t="shared" si="14"/>
        <v>5915.2</v>
      </c>
      <c r="N162" s="93">
        <v>100</v>
      </c>
      <c r="O162" s="94">
        <v>59152</v>
      </c>
      <c r="P162" s="114"/>
      <c r="Q162" s="71">
        <f>13735752*100</f>
        <v>1373575200</v>
      </c>
      <c r="R162" s="94"/>
      <c r="S162" s="94" t="s">
        <v>323</v>
      </c>
      <c r="T162" s="94" t="s">
        <v>795</v>
      </c>
      <c r="U162" s="78">
        <v>80485.5</v>
      </c>
      <c r="V162" s="78"/>
      <c r="W162" s="78"/>
      <c r="X162" s="78"/>
      <c r="Y162" s="78"/>
      <c r="Z162" s="78"/>
      <c r="AA162" s="78">
        <f>15100+15068</f>
        <v>30168</v>
      </c>
      <c r="AB162" s="79">
        <v>36300</v>
      </c>
      <c r="AC162" s="78">
        <v>515</v>
      </c>
      <c r="AD162" s="80">
        <v>36313</v>
      </c>
      <c r="AE162" s="75"/>
      <c r="AF162" s="75"/>
      <c r="AG162" s="32" t="s">
        <v>796</v>
      </c>
    </row>
    <row r="163" spans="2:38">
      <c r="B163" s="113">
        <f t="shared" si="13"/>
        <v>128</v>
      </c>
      <c r="C163" s="64" t="s">
        <v>797</v>
      </c>
      <c r="D163" s="64" t="s">
        <v>798</v>
      </c>
      <c r="E163" s="64"/>
      <c r="F163" s="66">
        <v>217</v>
      </c>
      <c r="G163" s="67">
        <f t="shared" si="11"/>
        <v>10217000</v>
      </c>
      <c r="H163" s="278" t="s">
        <v>797</v>
      </c>
      <c r="I163" s="66" t="s">
        <v>244</v>
      </c>
      <c r="J163" s="66" t="s">
        <v>189</v>
      </c>
      <c r="K163" s="66" t="s">
        <v>244</v>
      </c>
      <c r="L163" s="66" t="s">
        <v>233</v>
      </c>
      <c r="M163" s="93">
        <f t="shared" si="14"/>
        <v>16334.9</v>
      </c>
      <c r="N163" s="93">
        <v>100</v>
      </c>
      <c r="O163" s="94">
        <v>163349</v>
      </c>
      <c r="P163" s="116"/>
      <c r="Q163" s="71"/>
      <c r="R163" s="94"/>
      <c r="S163" s="94" t="s">
        <v>513</v>
      </c>
      <c r="T163" s="94" t="s">
        <v>799</v>
      </c>
      <c r="U163" s="78"/>
      <c r="V163" s="78"/>
      <c r="W163" s="78"/>
      <c r="X163" s="78"/>
      <c r="Y163" s="78"/>
      <c r="Z163" s="78"/>
      <c r="AA163" s="78">
        <v>83308</v>
      </c>
      <c r="AB163" s="79">
        <v>35769</v>
      </c>
      <c r="AC163" s="78">
        <v>747</v>
      </c>
      <c r="AD163" s="80">
        <v>35788</v>
      </c>
      <c r="AE163" s="75"/>
      <c r="AF163" s="75"/>
      <c r="AG163" s="32" t="s">
        <v>796</v>
      </c>
    </row>
    <row r="164" spans="2:38">
      <c r="B164" s="113">
        <f t="shared" si="13"/>
        <v>129</v>
      </c>
      <c r="C164" s="64" t="s">
        <v>800</v>
      </c>
      <c r="D164" s="64" t="s">
        <v>801</v>
      </c>
      <c r="E164" s="64"/>
      <c r="F164" s="66">
        <v>7</v>
      </c>
      <c r="G164" s="67">
        <f t="shared" ref="G164:G206" si="15">10000000+F164*1000</f>
        <v>10007000</v>
      </c>
      <c r="H164" s="278" t="s">
        <v>800</v>
      </c>
      <c r="I164" s="66" t="s">
        <v>232</v>
      </c>
      <c r="J164" s="66" t="s">
        <v>194</v>
      </c>
      <c r="K164" s="66" t="s">
        <v>232</v>
      </c>
      <c r="L164" s="66" t="s">
        <v>350</v>
      </c>
      <c r="M164" s="93">
        <f t="shared" si="14"/>
        <v>40482.9</v>
      </c>
      <c r="N164" s="93">
        <v>100</v>
      </c>
      <c r="O164" s="94">
        <v>404829</v>
      </c>
      <c r="P164" s="78"/>
      <c r="Q164" s="71"/>
      <c r="R164" s="66"/>
      <c r="S164" s="66" t="s">
        <v>292</v>
      </c>
      <c r="T164" s="66" t="s">
        <v>802</v>
      </c>
      <c r="U164" s="78"/>
      <c r="V164" s="78"/>
      <c r="W164" s="78"/>
      <c r="X164" s="78"/>
      <c r="Y164" s="78"/>
      <c r="Z164" s="78"/>
      <c r="AA164" s="78"/>
      <c r="AB164" s="78"/>
      <c r="AC164" s="78"/>
      <c r="AD164" s="96"/>
      <c r="AE164" s="92"/>
      <c r="AF164" s="92"/>
      <c r="AG164" s="32" t="s">
        <v>803</v>
      </c>
    </row>
    <row r="165" spans="2:38">
      <c r="B165" s="113">
        <f t="shared" ref="B165:B206" si="16">B164+1</f>
        <v>130</v>
      </c>
      <c r="C165" s="64" t="s">
        <v>804</v>
      </c>
      <c r="D165" s="64" t="s">
        <v>805</v>
      </c>
      <c r="E165" s="64"/>
      <c r="F165" s="66">
        <v>195</v>
      </c>
      <c r="G165" s="67">
        <f t="shared" si="15"/>
        <v>10195000</v>
      </c>
      <c r="H165" s="278" t="s">
        <v>804</v>
      </c>
      <c r="I165" s="66" t="s">
        <v>232</v>
      </c>
      <c r="J165" s="66" t="s">
        <v>38</v>
      </c>
      <c r="K165" s="66" t="s">
        <v>232</v>
      </c>
      <c r="L165" s="66" t="s">
        <v>233</v>
      </c>
      <c r="M165" s="93">
        <f t="shared" si="14"/>
        <v>131547.5</v>
      </c>
      <c r="N165" s="93">
        <v>1</v>
      </c>
      <c r="O165" s="94">
        <f>(1128275+187200)*100</f>
        <v>131547500</v>
      </c>
      <c r="P165" s="114"/>
      <c r="Q165" s="71"/>
      <c r="R165" s="94"/>
      <c r="S165" s="94" t="s">
        <v>323</v>
      </c>
      <c r="T165" s="94" t="s">
        <v>806</v>
      </c>
      <c r="U165" s="78"/>
      <c r="V165" s="78"/>
      <c r="W165" s="78"/>
      <c r="X165" s="78"/>
      <c r="Y165" s="78"/>
      <c r="Z165" s="78"/>
      <c r="AA165" s="78">
        <v>575420</v>
      </c>
      <c r="AB165" s="79">
        <v>35993</v>
      </c>
      <c r="AC165" s="78">
        <v>524</v>
      </c>
      <c r="AD165" s="80">
        <v>36012</v>
      </c>
      <c r="AE165" s="75"/>
      <c r="AF165" s="75"/>
      <c r="AG165" s="32"/>
    </row>
    <row r="166" spans="2:38">
      <c r="B166" s="113">
        <f t="shared" si="16"/>
        <v>131</v>
      </c>
      <c r="C166" s="64" t="s">
        <v>807</v>
      </c>
      <c r="D166" s="64" t="s">
        <v>808</v>
      </c>
      <c r="E166" s="64"/>
      <c r="F166" s="66">
        <v>94</v>
      </c>
      <c r="G166" s="67">
        <f t="shared" si="15"/>
        <v>10094000</v>
      </c>
      <c r="H166" s="278" t="s">
        <v>807</v>
      </c>
      <c r="I166" s="66" t="s">
        <v>503</v>
      </c>
      <c r="J166" s="66" t="s">
        <v>198</v>
      </c>
      <c r="K166" s="66" t="s">
        <v>503</v>
      </c>
      <c r="L166" s="66" t="s">
        <v>350</v>
      </c>
      <c r="M166" s="93">
        <f t="shared" si="14"/>
        <v>11271.6</v>
      </c>
      <c r="N166" s="93">
        <v>100</v>
      </c>
      <c r="O166" s="94">
        <v>112716</v>
      </c>
      <c r="P166" s="114"/>
      <c r="Q166" s="71"/>
      <c r="R166" s="94"/>
      <c r="S166" s="94" t="s">
        <v>504</v>
      </c>
      <c r="T166" s="94" t="s">
        <v>809</v>
      </c>
      <c r="U166" s="78"/>
      <c r="V166" s="78"/>
      <c r="W166" s="78"/>
      <c r="X166" s="78"/>
      <c r="Y166" s="78"/>
      <c r="Z166" s="78"/>
      <c r="AA166" s="78">
        <v>57485</v>
      </c>
      <c r="AB166" s="79">
        <v>36006</v>
      </c>
      <c r="AC166" s="78">
        <v>550</v>
      </c>
      <c r="AD166" s="80">
        <v>36017</v>
      </c>
      <c r="AE166" s="75"/>
      <c r="AF166" s="75"/>
      <c r="AG166" s="32"/>
    </row>
    <row r="167" spans="2:38">
      <c r="B167" s="113">
        <f t="shared" si="16"/>
        <v>132</v>
      </c>
      <c r="C167" s="64" t="s">
        <v>810</v>
      </c>
      <c r="D167" s="64" t="s">
        <v>811</v>
      </c>
      <c r="E167" s="64"/>
      <c r="F167" s="66">
        <v>448</v>
      </c>
      <c r="G167" s="67">
        <f t="shared" si="15"/>
        <v>10448000</v>
      </c>
      <c r="H167" s="278" t="s">
        <v>810</v>
      </c>
      <c r="I167" s="66" t="s">
        <v>503</v>
      </c>
      <c r="J167" s="66" t="s">
        <v>197</v>
      </c>
      <c r="K167" s="66" t="s">
        <v>503</v>
      </c>
      <c r="L167" s="66" t="s">
        <v>380</v>
      </c>
      <c r="M167" s="93">
        <f t="shared" si="14"/>
        <v>71349.899999999994</v>
      </c>
      <c r="N167" s="93">
        <v>100</v>
      </c>
      <c r="O167" s="94">
        <v>713499</v>
      </c>
      <c r="P167" s="114"/>
      <c r="Q167" s="71"/>
      <c r="R167" s="94"/>
      <c r="S167" s="94" t="s">
        <v>504</v>
      </c>
      <c r="T167" s="94" t="s">
        <v>812</v>
      </c>
      <c r="U167" s="78"/>
      <c r="V167" s="78"/>
      <c r="W167" s="78"/>
      <c r="X167" s="78"/>
      <c r="Y167" s="78"/>
      <c r="Z167" s="78"/>
      <c r="AA167" s="78">
        <v>428099</v>
      </c>
      <c r="AB167" s="79">
        <v>36188</v>
      </c>
      <c r="AC167" s="78">
        <v>60</v>
      </c>
      <c r="AD167" s="80">
        <v>36220</v>
      </c>
      <c r="AE167" s="75"/>
      <c r="AF167" s="75"/>
      <c r="AG167" s="32"/>
    </row>
    <row r="168" spans="2:38">
      <c r="B168" s="113">
        <f t="shared" si="16"/>
        <v>133</v>
      </c>
      <c r="C168" s="64" t="s">
        <v>813</v>
      </c>
      <c r="D168" s="65" t="s">
        <v>814</v>
      </c>
      <c r="E168" s="65"/>
      <c r="F168" s="66">
        <v>484</v>
      </c>
      <c r="G168" s="67">
        <f t="shared" si="15"/>
        <v>10484000</v>
      </c>
      <c r="H168" s="278" t="s">
        <v>813</v>
      </c>
      <c r="I168" s="66" t="s">
        <v>232</v>
      </c>
      <c r="J168" s="66" t="s">
        <v>75</v>
      </c>
      <c r="K168" s="66" t="s">
        <v>232</v>
      </c>
      <c r="L168" s="66" t="s">
        <v>245</v>
      </c>
      <c r="M168" s="93">
        <f t="shared" si="14"/>
        <v>3680785</v>
      </c>
      <c r="N168" s="93">
        <v>100</v>
      </c>
      <c r="O168" s="94">
        <v>36807850</v>
      </c>
      <c r="P168" s="76"/>
      <c r="Q168" s="71"/>
      <c r="R168" s="77"/>
      <c r="S168" s="77" t="s">
        <v>240</v>
      </c>
      <c r="T168" s="77" t="s">
        <v>815</v>
      </c>
      <c r="U168" s="78"/>
      <c r="V168" s="78"/>
      <c r="W168" s="78"/>
      <c r="X168" s="79">
        <v>36083</v>
      </c>
      <c r="Y168" s="78"/>
      <c r="Z168" s="78"/>
      <c r="AA168" s="78"/>
      <c r="AB168" s="79"/>
      <c r="AC168" s="78"/>
      <c r="AD168" s="80"/>
      <c r="AE168" s="75"/>
      <c r="AF168" s="75"/>
      <c r="AG168" s="75"/>
      <c r="AH168" s="24" t="s">
        <v>816</v>
      </c>
    </row>
    <row r="169" spans="2:38">
      <c r="B169" s="113">
        <f t="shared" si="16"/>
        <v>134</v>
      </c>
      <c r="C169" s="64" t="s">
        <v>817</v>
      </c>
      <c r="D169" s="64" t="s">
        <v>818</v>
      </c>
      <c r="E169" s="64"/>
      <c r="F169" s="63">
        <v>325</v>
      </c>
      <c r="G169" s="67">
        <f t="shared" si="15"/>
        <v>10325000</v>
      </c>
      <c r="H169" s="278" t="s">
        <v>817</v>
      </c>
      <c r="I169" s="63" t="s">
        <v>503</v>
      </c>
      <c r="J169" s="63" t="s">
        <v>819</v>
      </c>
      <c r="K169" s="63" t="s">
        <v>503</v>
      </c>
      <c r="L169" s="63" t="s">
        <v>380</v>
      </c>
      <c r="M169" s="93">
        <f t="shared" si="14"/>
        <v>6217.7</v>
      </c>
      <c r="N169" s="93">
        <v>100</v>
      </c>
      <c r="O169" s="103">
        <f>87048-24871</f>
        <v>62177</v>
      </c>
      <c r="P169" s="116"/>
      <c r="Q169" s="71"/>
      <c r="R169" s="66"/>
      <c r="S169" s="66" t="s">
        <v>504</v>
      </c>
      <c r="T169" s="66" t="s">
        <v>564</v>
      </c>
      <c r="U169" s="78"/>
      <c r="V169" s="78"/>
      <c r="W169" s="78"/>
      <c r="X169" s="78"/>
      <c r="Y169" s="78"/>
      <c r="Z169" s="78"/>
      <c r="AA169" s="78"/>
      <c r="AB169" s="78"/>
      <c r="AC169" s="78"/>
      <c r="AD169" s="96"/>
      <c r="AE169" s="92"/>
      <c r="AF169" s="92"/>
      <c r="AG169" s="32" t="s">
        <v>820</v>
      </c>
      <c r="AL169" s="24" t="s">
        <v>821</v>
      </c>
    </row>
    <row r="170" spans="2:38">
      <c r="B170" s="113">
        <f t="shared" si="16"/>
        <v>135</v>
      </c>
      <c r="C170" s="64" t="s">
        <v>822</v>
      </c>
      <c r="D170" s="64"/>
      <c r="E170" s="64" t="s">
        <v>823</v>
      </c>
      <c r="F170" s="63">
        <v>524</v>
      </c>
      <c r="G170" s="67">
        <f t="shared" si="15"/>
        <v>10524000</v>
      </c>
      <c r="H170" s="278" t="s">
        <v>822</v>
      </c>
      <c r="I170" s="63" t="s">
        <v>232</v>
      </c>
      <c r="J170" s="63" t="s">
        <v>87</v>
      </c>
      <c r="K170" s="63" t="s">
        <v>232</v>
      </c>
      <c r="L170" s="63" t="s">
        <v>233</v>
      </c>
      <c r="M170" s="93">
        <f t="shared" si="14"/>
        <v>13750000</v>
      </c>
      <c r="N170" s="93">
        <v>1000</v>
      </c>
      <c r="O170" s="103">
        <f>15141956-1391956</f>
        <v>13750000</v>
      </c>
      <c r="P170" s="104"/>
      <c r="Q170" s="71"/>
      <c r="R170" s="94"/>
      <c r="S170" s="94"/>
      <c r="T170" s="94"/>
      <c r="U170" s="78"/>
      <c r="V170" s="78"/>
      <c r="W170" s="78"/>
      <c r="X170" s="78"/>
      <c r="Y170" s="78"/>
      <c r="Z170" s="78"/>
      <c r="AA170" s="78"/>
      <c r="AB170" s="78"/>
      <c r="AC170" s="95"/>
      <c r="AD170" s="96"/>
      <c r="AE170" s="92"/>
      <c r="AF170" s="92"/>
      <c r="AG170" s="32" t="s">
        <v>824</v>
      </c>
    </row>
    <row r="171" spans="2:38">
      <c r="B171" s="113">
        <f t="shared" si="16"/>
        <v>136</v>
      </c>
      <c r="C171" s="64" t="s">
        <v>825</v>
      </c>
      <c r="D171" s="64" t="s">
        <v>826</v>
      </c>
      <c r="E171" s="64" t="s">
        <v>827</v>
      </c>
      <c r="F171" s="66">
        <v>525</v>
      </c>
      <c r="G171" s="67">
        <f t="shared" si="15"/>
        <v>10525000</v>
      </c>
      <c r="H171" s="278" t="s">
        <v>825</v>
      </c>
      <c r="I171" s="66" t="s">
        <v>232</v>
      </c>
      <c r="J171" s="66" t="s">
        <v>149</v>
      </c>
      <c r="K171" s="66" t="s">
        <v>232</v>
      </c>
      <c r="L171" s="66" t="s">
        <v>233</v>
      </c>
      <c r="M171" s="93">
        <f t="shared" ref="M171:M206" si="17">O171*N171/1000</f>
        <v>5211895.4000000004</v>
      </c>
      <c r="N171" s="93">
        <v>100</v>
      </c>
      <c r="O171" s="158">
        <f>5000000+2000000+2234268+42884686</f>
        <v>52118954</v>
      </c>
      <c r="P171" s="116"/>
      <c r="Q171" s="71"/>
      <c r="R171" s="94"/>
      <c r="S171" s="94" t="s">
        <v>828</v>
      </c>
      <c r="T171" s="94" t="s">
        <v>829</v>
      </c>
      <c r="U171" s="159">
        <v>700000000</v>
      </c>
      <c r="V171" s="78" t="s">
        <v>830</v>
      </c>
      <c r="W171" s="78" t="s">
        <v>831</v>
      </c>
      <c r="X171" s="78" t="s">
        <v>832</v>
      </c>
      <c r="Y171" s="159">
        <v>200000000</v>
      </c>
      <c r="Z171" s="160">
        <v>2000000</v>
      </c>
      <c r="AA171" s="78" t="s">
        <v>828</v>
      </c>
      <c r="AB171" s="79" t="s">
        <v>828</v>
      </c>
      <c r="AC171" s="78" t="s">
        <v>828</v>
      </c>
      <c r="AD171" s="80" t="s">
        <v>830</v>
      </c>
      <c r="AE171" s="75"/>
      <c r="AF171" s="32" t="s">
        <v>833</v>
      </c>
      <c r="AG171" s="32"/>
    </row>
    <row r="172" spans="2:38">
      <c r="B172" s="113">
        <f t="shared" si="16"/>
        <v>137</v>
      </c>
      <c r="C172" s="64" t="s">
        <v>834</v>
      </c>
      <c r="D172" s="64" t="s">
        <v>835</v>
      </c>
      <c r="E172" s="64"/>
      <c r="F172" s="66">
        <v>455</v>
      </c>
      <c r="G172" s="67">
        <f t="shared" si="15"/>
        <v>10455000</v>
      </c>
      <c r="H172" s="278" t="s">
        <v>834</v>
      </c>
      <c r="I172" s="66" t="s">
        <v>503</v>
      </c>
      <c r="J172" s="66" t="s">
        <v>151</v>
      </c>
      <c r="K172" s="66" t="s">
        <v>503</v>
      </c>
      <c r="L172" s="66" t="s">
        <v>259</v>
      </c>
      <c r="M172" s="93">
        <f t="shared" si="17"/>
        <v>33046</v>
      </c>
      <c r="N172" s="93">
        <v>100</v>
      </c>
      <c r="O172" s="94">
        <v>330460</v>
      </c>
      <c r="P172" s="114"/>
      <c r="Q172" s="71"/>
      <c r="R172" s="94"/>
      <c r="S172" s="94" t="s">
        <v>292</v>
      </c>
      <c r="T172" s="94" t="s">
        <v>836</v>
      </c>
      <c r="U172" s="78"/>
      <c r="V172" s="78"/>
      <c r="W172" s="78"/>
      <c r="X172" s="78"/>
      <c r="Y172" s="78"/>
      <c r="Z172" s="78"/>
      <c r="AA172" s="78">
        <v>168535</v>
      </c>
      <c r="AB172" s="79">
        <v>36139</v>
      </c>
      <c r="AC172" s="78">
        <v>870</v>
      </c>
      <c r="AD172" s="80">
        <v>36143</v>
      </c>
      <c r="AE172" s="75"/>
      <c r="AF172" s="75"/>
      <c r="AG172" s="32"/>
    </row>
    <row r="173" spans="2:38">
      <c r="B173" s="113">
        <f t="shared" si="16"/>
        <v>138</v>
      </c>
      <c r="C173" s="64" t="s">
        <v>837</v>
      </c>
      <c r="D173" s="64" t="s">
        <v>838</v>
      </c>
      <c r="E173" s="64"/>
      <c r="F173" s="66">
        <v>179</v>
      </c>
      <c r="G173" s="67">
        <f t="shared" si="15"/>
        <v>10179000</v>
      </c>
      <c r="H173" s="278" t="s">
        <v>837</v>
      </c>
      <c r="I173" s="66" t="s">
        <v>296</v>
      </c>
      <c r="J173" s="66" t="s">
        <v>37</v>
      </c>
      <c r="K173" s="66" t="s">
        <v>296</v>
      </c>
      <c r="L173" s="66" t="s">
        <v>380</v>
      </c>
      <c r="M173" s="93">
        <f t="shared" si="17"/>
        <v>53951.5</v>
      </c>
      <c r="N173" s="93">
        <v>100</v>
      </c>
      <c r="O173" s="94">
        <v>539515</v>
      </c>
      <c r="P173" s="70"/>
      <c r="Q173" s="71"/>
      <c r="R173" s="94" t="s">
        <v>296</v>
      </c>
      <c r="S173" s="94" t="s">
        <v>297</v>
      </c>
      <c r="T173" s="94" t="s">
        <v>839</v>
      </c>
      <c r="U173" s="78"/>
      <c r="V173" s="78"/>
      <c r="W173" s="78"/>
      <c r="X173" s="78"/>
      <c r="Y173" s="78"/>
      <c r="Z173" s="78"/>
      <c r="AA173" s="78">
        <v>377660</v>
      </c>
      <c r="AB173" s="78" t="s">
        <v>840</v>
      </c>
      <c r="AC173" s="161" t="s">
        <v>841</v>
      </c>
      <c r="AD173" s="80">
        <v>39794</v>
      </c>
      <c r="AE173" s="97"/>
      <c r="AF173" s="92"/>
      <c r="AG173" s="32" t="s">
        <v>842</v>
      </c>
    </row>
    <row r="174" spans="2:38">
      <c r="B174" s="113">
        <f t="shared" si="16"/>
        <v>139</v>
      </c>
      <c r="C174" s="64" t="s">
        <v>843</v>
      </c>
      <c r="D174" s="64" t="s">
        <v>844</v>
      </c>
      <c r="E174" s="64"/>
      <c r="F174" s="66">
        <v>175</v>
      </c>
      <c r="G174" s="67">
        <f t="shared" si="15"/>
        <v>10175000</v>
      </c>
      <c r="H174" s="278" t="s">
        <v>843</v>
      </c>
      <c r="I174" s="66" t="s">
        <v>296</v>
      </c>
      <c r="J174" s="66" t="s">
        <v>36</v>
      </c>
      <c r="K174" s="66" t="s">
        <v>296</v>
      </c>
      <c r="L174" s="66" t="s">
        <v>350</v>
      </c>
      <c r="M174" s="93">
        <f t="shared" si="17"/>
        <v>3619.5</v>
      </c>
      <c r="N174" s="93">
        <v>100</v>
      </c>
      <c r="O174" s="94">
        <v>36195</v>
      </c>
      <c r="P174" s="114"/>
      <c r="Q174" s="71"/>
      <c r="R174" s="94"/>
      <c r="S174" s="94" t="s">
        <v>297</v>
      </c>
      <c r="T174" s="94" t="s">
        <v>650</v>
      </c>
      <c r="U174" s="78">
        <v>36119.5</v>
      </c>
      <c r="V174" s="79">
        <v>36026</v>
      </c>
      <c r="W174" s="78" t="s">
        <v>845</v>
      </c>
      <c r="X174" s="79">
        <v>35817</v>
      </c>
      <c r="Y174" s="78">
        <v>-5384.3</v>
      </c>
      <c r="Z174" s="78">
        <v>-53843</v>
      </c>
      <c r="AA174" s="78"/>
      <c r="AB174" s="78"/>
      <c r="AC174" s="78"/>
      <c r="AD174" s="80">
        <v>36026</v>
      </c>
      <c r="AE174" s="75"/>
      <c r="AF174" s="75"/>
      <c r="AG174" s="32"/>
    </row>
    <row r="175" spans="2:38">
      <c r="B175" s="113">
        <f t="shared" si="16"/>
        <v>140</v>
      </c>
      <c r="C175" s="64" t="s">
        <v>846</v>
      </c>
      <c r="D175" s="64" t="s">
        <v>847</v>
      </c>
      <c r="E175" s="64"/>
      <c r="F175" s="66">
        <v>378</v>
      </c>
      <c r="G175" s="67">
        <f t="shared" si="15"/>
        <v>10378000</v>
      </c>
      <c r="H175" s="278" t="s">
        <v>846</v>
      </c>
      <c r="I175" s="66" t="s">
        <v>333</v>
      </c>
      <c r="J175" s="66" t="s">
        <v>57</v>
      </c>
      <c r="K175" s="66" t="s">
        <v>333</v>
      </c>
      <c r="L175" s="66" t="s">
        <v>380</v>
      </c>
      <c r="M175" s="93">
        <f t="shared" si="17"/>
        <v>31185.599999999999</v>
      </c>
      <c r="N175" s="93">
        <v>100</v>
      </c>
      <c r="O175" s="94">
        <v>311856</v>
      </c>
      <c r="P175" s="116"/>
      <c r="Q175" s="71"/>
      <c r="R175" s="78"/>
      <c r="S175" s="66" t="s">
        <v>334</v>
      </c>
      <c r="T175" s="66" t="s">
        <v>848</v>
      </c>
      <c r="U175" s="78"/>
      <c r="V175" s="142">
        <v>35786</v>
      </c>
      <c r="W175" s="78" t="s">
        <v>240</v>
      </c>
      <c r="X175" s="78"/>
      <c r="Y175" s="78"/>
      <c r="Z175" s="78"/>
      <c r="AA175" s="78"/>
      <c r="AB175" s="78"/>
      <c r="AC175" s="78"/>
      <c r="AD175" s="96"/>
      <c r="AE175" s="92"/>
      <c r="AF175" s="92"/>
      <c r="AG175" s="32"/>
    </row>
    <row r="176" spans="2:38">
      <c r="B176" s="113">
        <f t="shared" si="16"/>
        <v>141</v>
      </c>
      <c r="C176" s="64" t="s">
        <v>849</v>
      </c>
      <c r="D176" s="64" t="s">
        <v>850</v>
      </c>
      <c r="E176" s="64"/>
      <c r="F176" s="66">
        <v>490</v>
      </c>
      <c r="G176" s="67">
        <f t="shared" si="15"/>
        <v>10490000</v>
      </c>
      <c r="H176" s="278" t="s">
        <v>849</v>
      </c>
      <c r="I176" s="66" t="s">
        <v>503</v>
      </c>
      <c r="J176" s="66" t="s">
        <v>76</v>
      </c>
      <c r="K176" s="66" t="s">
        <v>503</v>
      </c>
      <c r="L176" s="66" t="s">
        <v>380</v>
      </c>
      <c r="M176" s="93">
        <f t="shared" si="17"/>
        <v>3988.5</v>
      </c>
      <c r="N176" s="93">
        <v>100</v>
      </c>
      <c r="O176" s="94">
        <v>39885</v>
      </c>
      <c r="P176" s="116"/>
      <c r="Q176" s="71"/>
      <c r="R176" s="66"/>
      <c r="S176" s="66" t="s">
        <v>240</v>
      </c>
      <c r="T176" s="66"/>
      <c r="U176" s="78"/>
      <c r="V176" s="78"/>
      <c r="W176" s="78"/>
      <c r="X176" s="78"/>
      <c r="Y176" s="78"/>
      <c r="Z176" s="78"/>
      <c r="AA176" s="78"/>
      <c r="AB176" s="78"/>
      <c r="AC176" s="78"/>
      <c r="AD176" s="96"/>
      <c r="AE176" s="92"/>
      <c r="AF176" s="92"/>
      <c r="AG176" s="32"/>
    </row>
    <row r="177" spans="2:33">
      <c r="B177" s="113">
        <f t="shared" si="16"/>
        <v>142</v>
      </c>
      <c r="C177" s="64" t="s">
        <v>851</v>
      </c>
      <c r="D177" s="64" t="s">
        <v>852</v>
      </c>
      <c r="E177" s="64"/>
      <c r="F177" s="66">
        <v>143</v>
      </c>
      <c r="G177" s="67">
        <f t="shared" si="15"/>
        <v>10143000</v>
      </c>
      <c r="H177" s="278" t="s">
        <v>851</v>
      </c>
      <c r="I177" s="66" t="s">
        <v>232</v>
      </c>
      <c r="J177" s="66" t="s">
        <v>30</v>
      </c>
      <c r="K177" s="66" t="s">
        <v>232</v>
      </c>
      <c r="L177" s="66" t="s">
        <v>233</v>
      </c>
      <c r="M177" s="93">
        <f t="shared" si="17"/>
        <v>26511.7</v>
      </c>
      <c r="N177" s="93">
        <v>10</v>
      </c>
      <c r="O177" s="94">
        <v>2651170</v>
      </c>
      <c r="P177" s="116"/>
      <c r="Q177" s="71"/>
      <c r="R177" s="66"/>
      <c r="S177" s="66" t="s">
        <v>292</v>
      </c>
      <c r="T177" s="66" t="s">
        <v>853</v>
      </c>
      <c r="U177" s="78"/>
      <c r="V177" s="78"/>
      <c r="W177" s="78"/>
      <c r="X177" s="78"/>
      <c r="Y177" s="78"/>
      <c r="Z177" s="78"/>
      <c r="AA177" s="78"/>
      <c r="AB177" s="78"/>
      <c r="AC177" s="78"/>
      <c r="AD177" s="96"/>
      <c r="AE177" s="92"/>
      <c r="AF177" s="92" t="s">
        <v>854</v>
      </c>
      <c r="AG177" s="32" t="s">
        <v>855</v>
      </c>
    </row>
    <row r="178" spans="2:33">
      <c r="B178" s="113">
        <f t="shared" si="16"/>
        <v>143</v>
      </c>
      <c r="C178" s="64" t="s">
        <v>856</v>
      </c>
      <c r="D178" s="64" t="s">
        <v>857</v>
      </c>
      <c r="E178" s="64"/>
      <c r="F178" s="66">
        <v>162</v>
      </c>
      <c r="G178" s="67">
        <f t="shared" si="15"/>
        <v>10162000</v>
      </c>
      <c r="H178" s="278" t="s">
        <v>856</v>
      </c>
      <c r="I178" s="66" t="s">
        <v>422</v>
      </c>
      <c r="J178" s="66" t="s">
        <v>34</v>
      </c>
      <c r="K178" s="66" t="s">
        <v>422</v>
      </c>
      <c r="L178" s="66" t="s">
        <v>380</v>
      </c>
      <c r="M178" s="93">
        <f t="shared" si="17"/>
        <v>13512.6</v>
      </c>
      <c r="N178" s="93">
        <v>100</v>
      </c>
      <c r="O178" s="94">
        <v>135126</v>
      </c>
      <c r="P178" s="114"/>
      <c r="Q178" s="71"/>
      <c r="R178" s="94"/>
      <c r="S178" s="94" t="s">
        <v>423</v>
      </c>
      <c r="T178" s="94" t="s">
        <v>858</v>
      </c>
      <c r="U178" s="78"/>
      <c r="V178" s="78"/>
      <c r="W178" s="78"/>
      <c r="X178" s="78"/>
      <c r="Y178" s="78"/>
      <c r="Z178" s="78"/>
      <c r="AA178" s="78">
        <v>27160</v>
      </c>
      <c r="AB178" s="96" t="s">
        <v>558</v>
      </c>
      <c r="AC178" s="78"/>
      <c r="AD178" s="80">
        <v>36214</v>
      </c>
      <c r="AE178" s="75"/>
      <c r="AF178" s="75"/>
      <c r="AG178" s="32"/>
    </row>
    <row r="179" spans="2:33">
      <c r="B179" s="113">
        <f t="shared" si="16"/>
        <v>144</v>
      </c>
      <c r="C179" s="64" t="s">
        <v>859</v>
      </c>
      <c r="D179" s="64" t="s">
        <v>860</v>
      </c>
      <c r="E179" s="64"/>
      <c r="F179" s="66">
        <v>402</v>
      </c>
      <c r="G179" s="67">
        <f t="shared" si="15"/>
        <v>10402000</v>
      </c>
      <c r="H179" s="278" t="s">
        <v>859</v>
      </c>
      <c r="I179" s="66" t="s">
        <v>304</v>
      </c>
      <c r="J179" s="66" t="s">
        <v>62</v>
      </c>
      <c r="K179" s="66" t="s">
        <v>304</v>
      </c>
      <c r="L179" s="66" t="s">
        <v>380</v>
      </c>
      <c r="M179" s="93">
        <f t="shared" si="17"/>
        <v>157342</v>
      </c>
      <c r="N179" s="93">
        <v>10</v>
      </c>
      <c r="O179" s="94">
        <f>11328600+4405600</f>
        <v>15734200</v>
      </c>
      <c r="P179" s="114"/>
      <c r="Q179" s="71"/>
      <c r="R179" s="94"/>
      <c r="S179" s="94" t="s">
        <v>306</v>
      </c>
      <c r="T179" s="94" t="s">
        <v>861</v>
      </c>
      <c r="U179" s="78"/>
      <c r="V179" s="78"/>
      <c r="W179" s="78" t="s">
        <v>862</v>
      </c>
      <c r="X179" s="78"/>
      <c r="Y179" s="78"/>
      <c r="Z179" s="78"/>
      <c r="AA179" s="78">
        <v>79972</v>
      </c>
      <c r="AB179" s="79">
        <v>35902</v>
      </c>
      <c r="AC179" s="78">
        <v>240</v>
      </c>
      <c r="AD179" s="80">
        <v>35907</v>
      </c>
      <c r="AE179" s="75"/>
      <c r="AF179" s="75"/>
      <c r="AG179" s="32" t="s">
        <v>863</v>
      </c>
    </row>
    <row r="180" spans="2:33">
      <c r="B180" s="113">
        <f t="shared" si="16"/>
        <v>145</v>
      </c>
      <c r="C180" s="64" t="s">
        <v>864</v>
      </c>
      <c r="D180" s="64" t="s">
        <v>865</v>
      </c>
      <c r="E180" s="64"/>
      <c r="F180" s="66">
        <v>108</v>
      </c>
      <c r="G180" s="67">
        <f t="shared" si="15"/>
        <v>10108000</v>
      </c>
      <c r="H180" s="278" t="s">
        <v>864</v>
      </c>
      <c r="I180" s="66" t="s">
        <v>304</v>
      </c>
      <c r="J180" s="66" t="s">
        <v>154</v>
      </c>
      <c r="K180" s="66" t="s">
        <v>304</v>
      </c>
      <c r="L180" s="66" t="s">
        <v>259</v>
      </c>
      <c r="M180" s="93">
        <f t="shared" si="17"/>
        <v>14395.9</v>
      </c>
      <c r="N180" s="93">
        <v>100</v>
      </c>
      <c r="O180" s="94">
        <v>143959</v>
      </c>
      <c r="P180" s="116"/>
      <c r="Q180" s="71"/>
      <c r="R180" s="66"/>
      <c r="S180" s="66" t="s">
        <v>292</v>
      </c>
      <c r="T180" s="66" t="s">
        <v>866</v>
      </c>
      <c r="U180" s="78">
        <v>185050.5</v>
      </c>
      <c r="V180" s="78"/>
      <c r="W180" s="78"/>
      <c r="X180" s="78"/>
      <c r="Y180" s="78"/>
      <c r="Z180" s="78"/>
      <c r="AA180" s="78"/>
      <c r="AB180" s="78"/>
      <c r="AC180" s="78"/>
      <c r="AD180" s="96"/>
      <c r="AE180" s="92"/>
      <c r="AF180" s="92"/>
      <c r="AG180" s="32"/>
    </row>
    <row r="181" spans="2:33">
      <c r="B181" s="113">
        <f t="shared" si="16"/>
        <v>146</v>
      </c>
      <c r="C181" s="64" t="s">
        <v>867</v>
      </c>
      <c r="D181" s="64" t="s">
        <v>868</v>
      </c>
      <c r="E181" s="64"/>
      <c r="F181" s="66">
        <v>78</v>
      </c>
      <c r="G181" s="67">
        <f t="shared" si="15"/>
        <v>10078000</v>
      </c>
      <c r="H181" s="278" t="s">
        <v>867</v>
      </c>
      <c r="I181" s="66" t="s">
        <v>304</v>
      </c>
      <c r="J181" s="66" t="s">
        <v>153</v>
      </c>
      <c r="K181" s="66" t="s">
        <v>304</v>
      </c>
      <c r="L181" s="66" t="s">
        <v>259</v>
      </c>
      <c r="M181" s="93">
        <f t="shared" si="17"/>
        <v>5195.6000000000004</v>
      </c>
      <c r="N181" s="93">
        <v>100</v>
      </c>
      <c r="O181" s="94">
        <v>51956</v>
      </c>
      <c r="P181" s="116"/>
      <c r="Q181" s="71"/>
      <c r="R181" s="94"/>
      <c r="S181" s="94" t="s">
        <v>306</v>
      </c>
      <c r="T181" s="94"/>
      <c r="U181" s="78"/>
      <c r="V181" s="78"/>
      <c r="W181" s="78"/>
      <c r="X181" s="78"/>
      <c r="Y181" s="78"/>
      <c r="Z181" s="78"/>
      <c r="AA181" s="78">
        <v>27288</v>
      </c>
      <c r="AB181" s="79">
        <v>35748</v>
      </c>
      <c r="AC181" s="78">
        <v>687</v>
      </c>
      <c r="AD181" s="80">
        <v>35494</v>
      </c>
      <c r="AE181" s="75"/>
      <c r="AF181" s="75"/>
      <c r="AG181" s="32" t="s">
        <v>869</v>
      </c>
    </row>
    <row r="182" spans="2:33">
      <c r="B182" s="113">
        <f t="shared" si="16"/>
        <v>147</v>
      </c>
      <c r="C182" s="64" t="s">
        <v>870</v>
      </c>
      <c r="D182" s="64" t="s">
        <v>871</v>
      </c>
      <c r="E182" s="64"/>
      <c r="F182" s="66">
        <v>373</v>
      </c>
      <c r="G182" s="67">
        <f t="shared" si="15"/>
        <v>10373000</v>
      </c>
      <c r="H182" s="278" t="s">
        <v>870</v>
      </c>
      <c r="I182" s="66" t="s">
        <v>304</v>
      </c>
      <c r="J182" s="66" t="s">
        <v>56</v>
      </c>
      <c r="K182" s="66" t="s">
        <v>304</v>
      </c>
      <c r="L182" s="66" t="s">
        <v>233</v>
      </c>
      <c r="M182" s="93">
        <f t="shared" si="17"/>
        <v>9442.6</v>
      </c>
      <c r="N182" s="93">
        <v>100</v>
      </c>
      <c r="O182" s="94">
        <v>94426</v>
      </c>
      <c r="P182" s="116"/>
      <c r="Q182" s="71"/>
      <c r="R182" s="94"/>
      <c r="S182" s="94" t="s">
        <v>306</v>
      </c>
      <c r="T182" s="94" t="s">
        <v>872</v>
      </c>
      <c r="U182" s="78"/>
      <c r="V182" s="78"/>
      <c r="W182" s="78"/>
      <c r="X182" s="78"/>
      <c r="Y182" s="78"/>
      <c r="Z182" s="78"/>
      <c r="AA182" s="78">
        <v>48157</v>
      </c>
      <c r="AB182" s="79">
        <v>35748</v>
      </c>
      <c r="AC182" s="78">
        <v>685</v>
      </c>
      <c r="AD182" s="80">
        <v>35765</v>
      </c>
      <c r="AE182" s="75"/>
      <c r="AF182" s="75"/>
      <c r="AG182" s="32"/>
    </row>
    <row r="183" spans="2:33">
      <c r="B183" s="113">
        <f t="shared" si="16"/>
        <v>148</v>
      </c>
      <c r="C183" s="64" t="s">
        <v>873</v>
      </c>
      <c r="D183" s="64" t="s">
        <v>874</v>
      </c>
      <c r="E183" s="64"/>
      <c r="F183" s="66">
        <v>431</v>
      </c>
      <c r="G183" s="67">
        <f t="shared" si="15"/>
        <v>10431000</v>
      </c>
      <c r="H183" s="278" t="s">
        <v>873</v>
      </c>
      <c r="I183" s="66" t="s">
        <v>304</v>
      </c>
      <c r="J183" s="66" t="s">
        <v>155</v>
      </c>
      <c r="K183" s="66" t="s">
        <v>304</v>
      </c>
      <c r="L183" s="66" t="s">
        <v>350</v>
      </c>
      <c r="M183" s="93">
        <f t="shared" si="17"/>
        <v>26382</v>
      </c>
      <c r="N183" s="93">
        <v>100</v>
      </c>
      <c r="O183" s="94">
        <v>263820</v>
      </c>
      <c r="P183" s="114"/>
      <c r="Q183" s="71"/>
      <c r="R183" s="94"/>
      <c r="S183" s="94" t="s">
        <v>306</v>
      </c>
      <c r="T183" s="94" t="s">
        <v>875</v>
      </c>
      <c r="U183" s="78"/>
      <c r="V183" s="78"/>
      <c r="W183" s="78"/>
      <c r="X183" s="78"/>
      <c r="Y183" s="78"/>
      <c r="Z183" s="78"/>
      <c r="AA183" s="78"/>
      <c r="AB183" s="78"/>
      <c r="AC183" s="78"/>
      <c r="AD183" s="96"/>
      <c r="AE183" s="92"/>
      <c r="AF183" s="92"/>
      <c r="AG183" s="32"/>
    </row>
    <row r="184" spans="2:33">
      <c r="B184" s="113">
        <f t="shared" si="16"/>
        <v>149</v>
      </c>
      <c r="C184" s="64" t="s">
        <v>876</v>
      </c>
      <c r="D184" s="64" t="s">
        <v>877</v>
      </c>
      <c r="E184" s="64"/>
      <c r="F184" s="66">
        <v>341</v>
      </c>
      <c r="G184" s="67">
        <f t="shared" si="15"/>
        <v>10341000</v>
      </c>
      <c r="H184" s="278" t="s">
        <v>876</v>
      </c>
      <c r="I184" s="66" t="s">
        <v>232</v>
      </c>
      <c r="J184" s="66" t="s">
        <v>878</v>
      </c>
      <c r="K184" s="66" t="s">
        <v>232</v>
      </c>
      <c r="L184" s="66" t="s">
        <v>233</v>
      </c>
      <c r="M184" s="93">
        <f t="shared" si="17"/>
        <v>21920</v>
      </c>
      <c r="N184" s="93">
        <v>100</v>
      </c>
      <c r="O184" s="94">
        <v>219200</v>
      </c>
      <c r="P184" s="116"/>
      <c r="Q184" s="71"/>
      <c r="R184" s="94"/>
      <c r="S184" s="94" t="s">
        <v>292</v>
      </c>
      <c r="T184" s="94" t="s">
        <v>879</v>
      </c>
      <c r="U184" s="78">
        <v>49929</v>
      </c>
      <c r="V184" s="78"/>
      <c r="W184" s="78"/>
      <c r="X184" s="78"/>
      <c r="Y184" s="78"/>
      <c r="Z184" s="78"/>
      <c r="AA184" s="78">
        <v>65760</v>
      </c>
      <c r="AB184" s="79">
        <v>35804</v>
      </c>
      <c r="AC184" s="78">
        <v>2</v>
      </c>
      <c r="AD184" s="80">
        <v>35828</v>
      </c>
      <c r="AE184" s="75"/>
      <c r="AF184" s="75"/>
      <c r="AG184" s="32"/>
    </row>
    <row r="185" spans="2:33">
      <c r="B185" s="113">
        <f t="shared" si="16"/>
        <v>150</v>
      </c>
      <c r="C185" s="64" t="s">
        <v>880</v>
      </c>
      <c r="D185" s="64" t="s">
        <v>881</v>
      </c>
      <c r="E185" s="64"/>
      <c r="F185" s="66">
        <v>454</v>
      </c>
      <c r="G185" s="67">
        <f t="shared" si="15"/>
        <v>10454000</v>
      </c>
      <c r="H185" s="278" t="s">
        <v>880</v>
      </c>
      <c r="I185" s="66" t="s">
        <v>232</v>
      </c>
      <c r="J185" s="66" t="s">
        <v>68</v>
      </c>
      <c r="K185" s="66" t="s">
        <v>232</v>
      </c>
      <c r="L185" s="66" t="s">
        <v>259</v>
      </c>
      <c r="M185" s="93">
        <f t="shared" si="17"/>
        <v>17937.3</v>
      </c>
      <c r="N185" s="93">
        <v>100</v>
      </c>
      <c r="O185" s="94">
        <v>179373</v>
      </c>
      <c r="P185" s="116"/>
      <c r="Q185" s="71"/>
      <c r="R185" s="66"/>
      <c r="S185" s="66" t="s">
        <v>323</v>
      </c>
      <c r="T185" s="66" t="s">
        <v>836</v>
      </c>
      <c r="U185" s="78"/>
      <c r="V185" s="78"/>
      <c r="W185" s="78"/>
      <c r="X185" s="78"/>
      <c r="Y185" s="78"/>
      <c r="Z185" s="78"/>
      <c r="AA185" s="78"/>
      <c r="AB185" s="78"/>
      <c r="AC185" s="78"/>
      <c r="AD185" s="96"/>
      <c r="AE185" s="92"/>
      <c r="AF185" s="92"/>
      <c r="AG185" s="32"/>
    </row>
    <row r="186" spans="2:33">
      <c r="B186" s="113">
        <f t="shared" si="16"/>
        <v>151</v>
      </c>
      <c r="C186" s="64" t="s">
        <v>882</v>
      </c>
      <c r="D186" s="64" t="s">
        <v>883</v>
      </c>
      <c r="E186" s="64"/>
      <c r="F186" s="66">
        <v>56</v>
      </c>
      <c r="G186" s="67">
        <f t="shared" si="15"/>
        <v>10056000</v>
      </c>
      <c r="H186" s="278" t="s">
        <v>882</v>
      </c>
      <c r="I186" s="66" t="s">
        <v>232</v>
      </c>
      <c r="J186" s="66" t="s">
        <v>104</v>
      </c>
      <c r="K186" s="66" t="s">
        <v>232</v>
      </c>
      <c r="L186" s="66" t="s">
        <v>233</v>
      </c>
      <c r="M186" s="93">
        <f t="shared" si="17"/>
        <v>29579.3</v>
      </c>
      <c r="N186" s="93">
        <v>100</v>
      </c>
      <c r="O186" s="94">
        <v>295793</v>
      </c>
      <c r="P186" s="116"/>
      <c r="Q186" s="71"/>
      <c r="R186" s="66"/>
      <c r="S186" s="66" t="s">
        <v>292</v>
      </c>
      <c r="T186" s="66"/>
      <c r="U186" s="78"/>
      <c r="V186" s="78"/>
      <c r="W186" s="78"/>
      <c r="X186" s="78"/>
      <c r="Y186" s="78"/>
      <c r="Z186" s="78"/>
      <c r="AA186" s="78"/>
      <c r="AB186" s="78"/>
      <c r="AC186" s="78"/>
      <c r="AD186" s="96"/>
      <c r="AE186" s="92"/>
      <c r="AF186" s="92"/>
      <c r="AG186" s="32"/>
    </row>
    <row r="187" spans="2:33">
      <c r="B187" s="113">
        <f t="shared" si="16"/>
        <v>152</v>
      </c>
      <c r="C187" s="65" t="s">
        <v>884</v>
      </c>
      <c r="D187" s="65" t="s">
        <v>885</v>
      </c>
      <c r="E187" s="65"/>
      <c r="F187" s="66">
        <v>518</v>
      </c>
      <c r="G187" s="66">
        <f t="shared" si="15"/>
        <v>10518000</v>
      </c>
      <c r="H187" s="280" t="s">
        <v>884</v>
      </c>
      <c r="I187" s="66" t="s">
        <v>436</v>
      </c>
      <c r="J187" s="66" t="s">
        <v>83</v>
      </c>
      <c r="K187" s="66" t="s">
        <v>436</v>
      </c>
      <c r="L187" s="66" t="s">
        <v>233</v>
      </c>
      <c r="M187" s="68">
        <f t="shared" si="17"/>
        <v>287684089.30000001</v>
      </c>
      <c r="N187" s="68">
        <v>100</v>
      </c>
      <c r="O187" s="69">
        <f>119452690+2751388203+6000000</f>
        <v>2876840893</v>
      </c>
      <c r="P187" s="116"/>
      <c r="Q187" s="71"/>
      <c r="R187" s="66"/>
      <c r="S187" s="66"/>
      <c r="T187" s="66"/>
      <c r="U187" s="78"/>
      <c r="V187" s="78"/>
      <c r="W187" s="78"/>
      <c r="X187" s="78"/>
      <c r="Y187" s="78"/>
      <c r="Z187" s="78"/>
      <c r="AA187" s="78"/>
      <c r="AB187" s="78"/>
      <c r="AC187" s="78"/>
      <c r="AD187" s="96"/>
      <c r="AE187" s="92"/>
      <c r="AF187" s="92"/>
      <c r="AG187" s="32"/>
    </row>
    <row r="188" spans="2:33">
      <c r="B188" s="113">
        <f t="shared" si="16"/>
        <v>153</v>
      </c>
      <c r="C188" s="64" t="s">
        <v>886</v>
      </c>
      <c r="D188" s="64" t="s">
        <v>887</v>
      </c>
      <c r="E188" s="64" t="s">
        <v>888</v>
      </c>
      <c r="F188" s="66">
        <v>532</v>
      </c>
      <c r="G188" s="67">
        <f t="shared" si="15"/>
        <v>10532000</v>
      </c>
      <c r="H188" s="278" t="s">
        <v>886</v>
      </c>
      <c r="I188" s="66" t="s">
        <v>232</v>
      </c>
      <c r="J188" s="66" t="s">
        <v>92</v>
      </c>
      <c r="K188" s="66" t="s">
        <v>232</v>
      </c>
      <c r="L188" s="66" t="s">
        <v>259</v>
      </c>
      <c r="M188" s="93">
        <f t="shared" si="17"/>
        <v>10131755.699999999</v>
      </c>
      <c r="N188" s="93">
        <v>100</v>
      </c>
      <c r="O188" s="94">
        <v>101317557</v>
      </c>
      <c r="P188" s="116"/>
      <c r="Q188" s="71"/>
      <c r="R188" s="66"/>
      <c r="S188" s="66"/>
      <c r="T188" s="142">
        <v>39659</v>
      </c>
      <c r="U188" s="78"/>
      <c r="V188" s="78"/>
      <c r="W188" s="78"/>
      <c r="X188" s="78" t="s">
        <v>889</v>
      </c>
      <c r="Y188" s="78"/>
      <c r="Z188" s="78"/>
      <c r="AA188" s="78"/>
      <c r="AB188" s="78"/>
      <c r="AC188" s="78"/>
      <c r="AD188" s="96"/>
      <c r="AE188" s="92"/>
      <c r="AF188" s="92"/>
      <c r="AG188" s="32"/>
    </row>
    <row r="189" spans="2:33">
      <c r="B189" s="113">
        <f t="shared" si="16"/>
        <v>154</v>
      </c>
      <c r="C189" s="64" t="s">
        <v>890</v>
      </c>
      <c r="D189" s="64" t="s">
        <v>891</v>
      </c>
      <c r="E189" s="64"/>
      <c r="F189" s="66">
        <v>330</v>
      </c>
      <c r="G189" s="67">
        <f t="shared" si="15"/>
        <v>10330000</v>
      </c>
      <c r="H189" s="278" t="s">
        <v>890</v>
      </c>
      <c r="I189" s="66" t="s">
        <v>244</v>
      </c>
      <c r="J189" s="66" t="s">
        <v>152</v>
      </c>
      <c r="K189" s="66" t="s">
        <v>244</v>
      </c>
      <c r="L189" s="66" t="s">
        <v>380</v>
      </c>
      <c r="M189" s="93">
        <f t="shared" si="17"/>
        <v>7130.5</v>
      </c>
      <c r="N189" s="93">
        <v>100</v>
      </c>
      <c r="O189" s="94">
        <v>71305</v>
      </c>
      <c r="P189" s="70"/>
      <c r="Q189" s="71"/>
      <c r="R189" s="94" t="s">
        <v>513</v>
      </c>
      <c r="S189" s="94" t="s">
        <v>513</v>
      </c>
      <c r="T189" s="94" t="s">
        <v>892</v>
      </c>
      <c r="U189" s="78"/>
      <c r="V189" s="78"/>
      <c r="W189" s="78"/>
      <c r="X189" s="78"/>
      <c r="Y189" s="78"/>
      <c r="Z189" s="78"/>
      <c r="AA189" s="78"/>
      <c r="AB189" s="78"/>
      <c r="AC189" s="95"/>
      <c r="AD189" s="96"/>
      <c r="AE189" s="92"/>
      <c r="AF189" s="92"/>
      <c r="AG189" s="32"/>
    </row>
    <row r="190" spans="2:33">
      <c r="B190" s="113">
        <f t="shared" si="16"/>
        <v>155</v>
      </c>
      <c r="C190" s="64" t="s">
        <v>893</v>
      </c>
      <c r="D190" s="64" t="s">
        <v>894</v>
      </c>
      <c r="E190" s="64"/>
      <c r="F190" s="66">
        <v>393</v>
      </c>
      <c r="G190" s="67">
        <f t="shared" si="15"/>
        <v>10393000</v>
      </c>
      <c r="H190" s="278" t="s">
        <v>893</v>
      </c>
      <c r="I190" s="66" t="s">
        <v>333</v>
      </c>
      <c r="J190" s="66" t="s">
        <v>156</v>
      </c>
      <c r="K190" s="66" t="s">
        <v>333</v>
      </c>
      <c r="L190" s="66" t="s">
        <v>350</v>
      </c>
      <c r="M190" s="93">
        <f t="shared" si="17"/>
        <v>43089.8</v>
      </c>
      <c r="N190" s="93">
        <v>100</v>
      </c>
      <c r="O190" s="94">
        <v>430898</v>
      </c>
      <c r="P190" s="114"/>
      <c r="Q190" s="71"/>
      <c r="R190" s="94"/>
      <c r="S190" s="94" t="s">
        <v>334</v>
      </c>
      <c r="T190" s="94" t="s">
        <v>376</v>
      </c>
      <c r="U190" s="78"/>
      <c r="V190" s="78"/>
      <c r="W190" s="78"/>
      <c r="X190" s="78"/>
      <c r="Y190" s="78"/>
      <c r="Z190" s="78"/>
      <c r="AA190" s="78">
        <v>219758</v>
      </c>
      <c r="AB190" s="79">
        <v>35916</v>
      </c>
      <c r="AC190" s="78">
        <v>299</v>
      </c>
      <c r="AD190" s="80">
        <v>35943</v>
      </c>
      <c r="AE190" s="75"/>
      <c r="AF190" s="75"/>
      <c r="AG190" s="32"/>
    </row>
    <row r="191" spans="2:33">
      <c r="B191" s="113">
        <f t="shared" si="16"/>
        <v>156</v>
      </c>
      <c r="C191" s="64" t="s">
        <v>895</v>
      </c>
      <c r="D191" s="64" t="s">
        <v>896</v>
      </c>
      <c r="E191" s="64"/>
      <c r="F191" s="66">
        <v>65</v>
      </c>
      <c r="G191" s="67">
        <f t="shared" si="15"/>
        <v>10065000</v>
      </c>
      <c r="H191" s="278" t="s">
        <v>895</v>
      </c>
      <c r="I191" s="66" t="s">
        <v>232</v>
      </c>
      <c r="J191" s="66" t="s">
        <v>105</v>
      </c>
      <c r="K191" s="66" t="s">
        <v>232</v>
      </c>
      <c r="L191" s="66" t="s">
        <v>245</v>
      </c>
      <c r="M191" s="93">
        <f t="shared" si="17"/>
        <v>5180.2</v>
      </c>
      <c r="N191" s="93">
        <v>100</v>
      </c>
      <c r="O191" s="94">
        <v>51802</v>
      </c>
      <c r="P191" s="116"/>
      <c r="Q191" s="71"/>
      <c r="R191" s="66"/>
      <c r="S191" s="66" t="s">
        <v>292</v>
      </c>
      <c r="T191" s="66" t="s">
        <v>433</v>
      </c>
      <c r="U191" s="78"/>
      <c r="V191" s="78"/>
      <c r="W191" s="78"/>
      <c r="X191" s="78"/>
      <c r="Y191" s="78"/>
      <c r="Z191" s="78"/>
      <c r="AA191" s="78"/>
      <c r="AB191" s="78"/>
      <c r="AC191" s="78"/>
      <c r="AD191" s="96"/>
      <c r="AE191" s="92"/>
      <c r="AF191" s="92"/>
      <c r="AG191" s="32"/>
    </row>
    <row r="192" spans="2:33">
      <c r="B192" s="113">
        <f t="shared" si="16"/>
        <v>157</v>
      </c>
      <c r="C192" s="64" t="s">
        <v>897</v>
      </c>
      <c r="D192" s="64" t="s">
        <v>898</v>
      </c>
      <c r="E192" s="64"/>
      <c r="F192" s="63">
        <v>8</v>
      </c>
      <c r="G192" s="67">
        <f t="shared" si="15"/>
        <v>10008000</v>
      </c>
      <c r="H192" s="278" t="s">
        <v>897</v>
      </c>
      <c r="I192" s="63" t="s">
        <v>232</v>
      </c>
      <c r="J192" s="63" t="s">
        <v>108</v>
      </c>
      <c r="K192" s="63" t="s">
        <v>232</v>
      </c>
      <c r="L192" s="63" t="s">
        <v>233</v>
      </c>
      <c r="M192" s="93">
        <f t="shared" si="17"/>
        <v>13526.6</v>
      </c>
      <c r="N192" s="93">
        <v>100</v>
      </c>
      <c r="O192" s="103">
        <v>135266</v>
      </c>
      <c r="P192" s="114"/>
      <c r="Q192" s="71"/>
      <c r="R192" s="94"/>
      <c r="S192" s="94" t="s">
        <v>292</v>
      </c>
      <c r="T192" s="94" t="s">
        <v>899</v>
      </c>
      <c r="U192" s="78"/>
      <c r="V192" s="78"/>
      <c r="W192" s="78"/>
      <c r="X192" s="78"/>
      <c r="Y192" s="78"/>
      <c r="Z192" s="78"/>
      <c r="AA192" s="78">
        <v>68986</v>
      </c>
      <c r="AB192" s="79">
        <v>35937</v>
      </c>
      <c r="AC192" s="78">
        <v>375</v>
      </c>
      <c r="AD192" s="80">
        <v>35951</v>
      </c>
      <c r="AE192" s="75"/>
      <c r="AF192" s="75"/>
      <c r="AG192" s="32"/>
    </row>
    <row r="193" spans="2:38">
      <c r="B193" s="113">
        <f t="shared" si="16"/>
        <v>158</v>
      </c>
      <c r="C193" s="64" t="s">
        <v>900</v>
      </c>
      <c r="D193" s="64" t="s">
        <v>901</v>
      </c>
      <c r="E193" s="64"/>
      <c r="F193" s="66">
        <v>133</v>
      </c>
      <c r="G193" s="67">
        <f t="shared" si="15"/>
        <v>10133000</v>
      </c>
      <c r="H193" s="278" t="s">
        <v>900</v>
      </c>
      <c r="I193" s="66" t="s">
        <v>345</v>
      </c>
      <c r="J193" s="66" t="s">
        <v>902</v>
      </c>
      <c r="K193" s="66" t="s">
        <v>345</v>
      </c>
      <c r="L193" s="66" t="s">
        <v>350</v>
      </c>
      <c r="M193" s="93">
        <f t="shared" si="17"/>
        <v>205617</v>
      </c>
      <c r="N193" s="93">
        <v>100</v>
      </c>
      <c r="O193" s="94">
        <v>2056170</v>
      </c>
      <c r="P193" s="116"/>
      <c r="Q193" s="71"/>
      <c r="R193" s="66"/>
      <c r="S193" s="66" t="s">
        <v>292</v>
      </c>
      <c r="T193" s="66" t="s">
        <v>853</v>
      </c>
      <c r="U193" s="78"/>
      <c r="V193" s="78"/>
      <c r="W193" s="78"/>
      <c r="X193" s="78"/>
      <c r="Y193" s="78"/>
      <c r="Z193" s="78"/>
      <c r="AA193" s="78"/>
      <c r="AB193" s="78"/>
      <c r="AC193" s="78"/>
      <c r="AD193" s="96"/>
      <c r="AE193" s="92"/>
      <c r="AF193" s="92"/>
      <c r="AG193" s="162"/>
    </row>
    <row r="194" spans="2:38">
      <c r="B194" s="113">
        <f t="shared" si="16"/>
        <v>159</v>
      </c>
      <c r="C194" s="64" t="s">
        <v>903</v>
      </c>
      <c r="D194" s="64" t="s">
        <v>904</v>
      </c>
      <c r="E194" s="64"/>
      <c r="F194" s="66">
        <v>407</v>
      </c>
      <c r="G194" s="67">
        <f t="shared" si="15"/>
        <v>10407000</v>
      </c>
      <c r="H194" s="278" t="s">
        <v>903</v>
      </c>
      <c r="I194" s="66" t="s">
        <v>436</v>
      </c>
      <c r="J194" s="66" t="s">
        <v>190</v>
      </c>
      <c r="K194" s="66" t="s">
        <v>436</v>
      </c>
      <c r="L194" s="66" t="s">
        <v>380</v>
      </c>
      <c r="M194" s="93">
        <f t="shared" si="17"/>
        <v>11081.3</v>
      </c>
      <c r="N194" s="93">
        <v>100</v>
      </c>
      <c r="O194" s="94">
        <v>110813</v>
      </c>
      <c r="P194" s="114"/>
      <c r="Q194" s="71"/>
      <c r="R194" s="94"/>
      <c r="S194" s="94" t="s">
        <v>496</v>
      </c>
      <c r="T194" s="94" t="s">
        <v>905</v>
      </c>
      <c r="U194" s="78"/>
      <c r="V194" s="78"/>
      <c r="W194" s="78"/>
      <c r="X194" s="78"/>
      <c r="Y194" s="78"/>
      <c r="Z194" s="78"/>
      <c r="AA194" s="78"/>
      <c r="AB194" s="78"/>
      <c r="AC194" s="78"/>
      <c r="AD194" s="96"/>
      <c r="AE194" s="92"/>
      <c r="AF194" s="92"/>
      <c r="AG194" s="32"/>
    </row>
    <row r="195" spans="2:38">
      <c r="B195" s="113">
        <f t="shared" si="16"/>
        <v>160</v>
      </c>
      <c r="C195" s="64" t="s">
        <v>906</v>
      </c>
      <c r="D195" s="64" t="s">
        <v>907</v>
      </c>
      <c r="E195" s="64"/>
      <c r="F195" s="66">
        <v>309</v>
      </c>
      <c r="G195" s="67">
        <f t="shared" si="15"/>
        <v>10309000</v>
      </c>
      <c r="H195" s="278" t="s">
        <v>906</v>
      </c>
      <c r="I195" s="66" t="s">
        <v>244</v>
      </c>
      <c r="J195" s="66" t="s">
        <v>51</v>
      </c>
      <c r="K195" s="66" t="s">
        <v>244</v>
      </c>
      <c r="L195" s="66" t="s">
        <v>259</v>
      </c>
      <c r="M195" s="93">
        <f t="shared" si="17"/>
        <v>1017024.2</v>
      </c>
      <c r="N195" s="93">
        <v>100</v>
      </c>
      <c r="O195" s="94">
        <f>7231389+1292596+1707404-61147</f>
        <v>10170242</v>
      </c>
      <c r="P195" s="70"/>
      <c r="Q195" s="71"/>
      <c r="R195" s="94" t="s">
        <v>234</v>
      </c>
      <c r="S195" s="94" t="s">
        <v>292</v>
      </c>
      <c r="T195" s="94" t="s">
        <v>908</v>
      </c>
      <c r="U195" s="78"/>
      <c r="V195" s="78"/>
      <c r="W195" s="78"/>
      <c r="X195" s="78"/>
      <c r="Y195" s="78"/>
      <c r="Z195" s="78"/>
      <c r="AA195" s="78"/>
      <c r="AB195" s="78"/>
      <c r="AC195" s="95"/>
      <c r="AD195" s="96"/>
      <c r="AE195" s="92"/>
      <c r="AF195" s="92"/>
      <c r="AG195" s="32" t="s">
        <v>909</v>
      </c>
    </row>
    <row r="196" spans="2:38">
      <c r="B196" s="113">
        <f t="shared" si="16"/>
        <v>161</v>
      </c>
      <c r="C196" s="64" t="s">
        <v>910</v>
      </c>
      <c r="D196" s="64" t="s">
        <v>911</v>
      </c>
      <c r="E196" s="64"/>
      <c r="F196" s="66">
        <v>158</v>
      </c>
      <c r="G196" s="67">
        <f t="shared" si="15"/>
        <v>10158000</v>
      </c>
      <c r="H196" s="278" t="s">
        <v>910</v>
      </c>
      <c r="I196" s="66" t="s">
        <v>436</v>
      </c>
      <c r="J196" s="66" t="s">
        <v>912</v>
      </c>
      <c r="K196" s="66" t="s">
        <v>436</v>
      </c>
      <c r="L196" s="66" t="s">
        <v>350</v>
      </c>
      <c r="M196" s="93">
        <f t="shared" si="17"/>
        <v>5550.8</v>
      </c>
      <c r="N196" s="93">
        <v>100</v>
      </c>
      <c r="O196" s="94">
        <v>55508</v>
      </c>
      <c r="P196" s="114"/>
      <c r="Q196" s="71"/>
      <c r="R196" s="94"/>
      <c r="S196" s="94" t="s">
        <v>496</v>
      </c>
      <c r="T196" s="94" t="s">
        <v>913</v>
      </c>
      <c r="U196" s="78"/>
      <c r="V196" s="78"/>
      <c r="W196" s="78"/>
      <c r="X196" s="78"/>
      <c r="Y196" s="78"/>
      <c r="Z196" s="78"/>
      <c r="AA196" s="78">
        <v>26309</v>
      </c>
      <c r="AB196" s="79">
        <v>36167</v>
      </c>
      <c r="AC196" s="78">
        <v>17</v>
      </c>
      <c r="AD196" s="80">
        <v>36178</v>
      </c>
      <c r="AE196" s="75"/>
      <c r="AF196" s="75"/>
      <c r="AG196" s="32"/>
    </row>
    <row r="197" spans="2:38">
      <c r="B197" s="113">
        <f t="shared" si="16"/>
        <v>162</v>
      </c>
      <c r="C197" s="64" t="s">
        <v>914</v>
      </c>
      <c r="D197" s="64" t="s">
        <v>915</v>
      </c>
      <c r="E197" s="64"/>
      <c r="F197" s="66">
        <v>359</v>
      </c>
      <c r="G197" s="67">
        <f t="shared" si="15"/>
        <v>10359000</v>
      </c>
      <c r="H197" s="278" t="s">
        <v>914</v>
      </c>
      <c r="I197" s="66" t="s">
        <v>232</v>
      </c>
      <c r="J197" s="66" t="s">
        <v>54</v>
      </c>
      <c r="K197" s="66" t="s">
        <v>232</v>
      </c>
      <c r="L197" s="66" t="s">
        <v>259</v>
      </c>
      <c r="M197" s="93">
        <f t="shared" si="17"/>
        <v>18472.3</v>
      </c>
      <c r="N197" s="93">
        <v>100</v>
      </c>
      <c r="O197" s="94">
        <v>184723</v>
      </c>
      <c r="P197" s="116"/>
      <c r="Q197" s="71"/>
      <c r="R197" s="66"/>
      <c r="S197" s="66" t="s">
        <v>323</v>
      </c>
      <c r="T197" s="66" t="s">
        <v>916</v>
      </c>
      <c r="U197" s="78"/>
      <c r="V197" s="78"/>
      <c r="W197" s="78"/>
      <c r="X197" s="78"/>
      <c r="Y197" s="78"/>
      <c r="Z197" s="78"/>
      <c r="AA197" s="78"/>
      <c r="AB197" s="78"/>
      <c r="AC197" s="78"/>
      <c r="AD197" s="96"/>
      <c r="AE197" s="92"/>
      <c r="AF197" s="92"/>
      <c r="AG197" s="32"/>
    </row>
    <row r="198" spans="2:38">
      <c r="B198" s="113">
        <f t="shared" si="16"/>
        <v>163</v>
      </c>
      <c r="C198" s="64" t="s">
        <v>917</v>
      </c>
      <c r="D198" s="64" t="s">
        <v>918</v>
      </c>
      <c r="E198" s="64"/>
      <c r="F198" s="66">
        <v>154</v>
      </c>
      <c r="G198" s="67">
        <f t="shared" si="15"/>
        <v>10154000</v>
      </c>
      <c r="H198" s="278" t="s">
        <v>917</v>
      </c>
      <c r="I198" s="66" t="s">
        <v>286</v>
      </c>
      <c r="J198" s="66" t="s">
        <v>140</v>
      </c>
      <c r="K198" s="66" t="s">
        <v>286</v>
      </c>
      <c r="L198" s="66" t="s">
        <v>350</v>
      </c>
      <c r="M198" s="93">
        <f t="shared" si="17"/>
        <v>39429.800000000003</v>
      </c>
      <c r="N198" s="144">
        <v>100</v>
      </c>
      <c r="O198" s="94">
        <v>394298</v>
      </c>
      <c r="P198" s="116"/>
      <c r="Q198" s="71"/>
      <c r="R198" s="66"/>
      <c r="S198" s="66" t="s">
        <v>677</v>
      </c>
      <c r="T198" s="66" t="s">
        <v>492</v>
      </c>
      <c r="U198" s="78"/>
      <c r="V198" s="78"/>
      <c r="W198" s="78"/>
      <c r="X198" s="78"/>
      <c r="Y198" s="78"/>
      <c r="Z198" s="78"/>
      <c r="AA198" s="78"/>
      <c r="AB198" s="78"/>
      <c r="AC198" s="78"/>
      <c r="AD198" s="96"/>
      <c r="AE198" s="92"/>
      <c r="AF198" s="92"/>
      <c r="AG198" s="32"/>
    </row>
    <row r="199" spans="2:38">
      <c r="B199" s="113">
        <f t="shared" si="16"/>
        <v>164</v>
      </c>
      <c r="C199" s="64" t="s">
        <v>919</v>
      </c>
      <c r="D199" s="64" t="s">
        <v>920</v>
      </c>
      <c r="E199" s="64"/>
      <c r="F199" s="66">
        <v>113</v>
      </c>
      <c r="G199" s="67">
        <f t="shared" si="15"/>
        <v>10113000</v>
      </c>
      <c r="H199" s="278" t="s">
        <v>919</v>
      </c>
      <c r="I199" s="66" t="s">
        <v>286</v>
      </c>
      <c r="J199" s="66" t="s">
        <v>143</v>
      </c>
      <c r="K199" s="66" t="s">
        <v>286</v>
      </c>
      <c r="L199" s="66" t="s">
        <v>259</v>
      </c>
      <c r="M199" s="93">
        <f t="shared" si="17"/>
        <v>42684.1</v>
      </c>
      <c r="N199" s="93">
        <v>100</v>
      </c>
      <c r="O199" s="94">
        <v>426841</v>
      </c>
      <c r="P199" s="116"/>
      <c r="Q199" s="71"/>
      <c r="R199" s="66"/>
      <c r="S199" s="66" t="s">
        <v>292</v>
      </c>
      <c r="T199" s="66" t="s">
        <v>492</v>
      </c>
      <c r="U199" s="78"/>
      <c r="V199" s="78"/>
      <c r="W199" s="78"/>
      <c r="X199" s="78"/>
      <c r="Y199" s="78"/>
      <c r="Z199" s="78"/>
      <c r="AA199" s="78"/>
      <c r="AB199" s="78"/>
      <c r="AC199" s="78"/>
      <c r="AD199" s="96"/>
      <c r="AE199" s="92"/>
      <c r="AF199" s="92"/>
      <c r="AG199" s="32"/>
    </row>
    <row r="200" spans="2:38">
      <c r="B200" s="113">
        <f t="shared" si="16"/>
        <v>165</v>
      </c>
      <c r="C200" s="64" t="s">
        <v>921</v>
      </c>
      <c r="D200" s="64" t="s">
        <v>922</v>
      </c>
      <c r="E200" s="64"/>
      <c r="F200" s="66">
        <v>425</v>
      </c>
      <c r="G200" s="67">
        <f t="shared" si="15"/>
        <v>10425000</v>
      </c>
      <c r="H200" s="278" t="s">
        <v>921</v>
      </c>
      <c r="I200" s="66" t="s">
        <v>345</v>
      </c>
      <c r="J200" s="66" t="s">
        <v>144</v>
      </c>
      <c r="K200" s="66" t="s">
        <v>345</v>
      </c>
      <c r="L200" s="66" t="s">
        <v>380</v>
      </c>
      <c r="M200" s="93">
        <f t="shared" si="17"/>
        <v>9972</v>
      </c>
      <c r="N200" s="93">
        <v>100</v>
      </c>
      <c r="O200" s="94">
        <v>99720</v>
      </c>
      <c r="P200" s="114"/>
      <c r="Q200" s="71"/>
      <c r="R200" s="94"/>
      <c r="S200" s="94" t="s">
        <v>346</v>
      </c>
      <c r="T200" s="94" t="s">
        <v>923</v>
      </c>
      <c r="U200" s="78"/>
      <c r="V200" s="78"/>
      <c r="W200" s="78"/>
      <c r="X200" s="78"/>
      <c r="Y200" s="78"/>
      <c r="Z200" s="78"/>
      <c r="AA200" s="78">
        <v>50857</v>
      </c>
      <c r="AB200" s="79">
        <v>36123</v>
      </c>
      <c r="AC200" s="78">
        <v>804</v>
      </c>
      <c r="AD200" s="80">
        <v>36214</v>
      </c>
      <c r="AE200" s="75"/>
      <c r="AF200" s="75" t="s">
        <v>924</v>
      </c>
      <c r="AG200" s="32"/>
    </row>
    <row r="201" spans="2:38">
      <c r="B201" s="113">
        <f t="shared" si="16"/>
        <v>166</v>
      </c>
      <c r="C201" s="64" t="s">
        <v>925</v>
      </c>
      <c r="D201" s="64" t="s">
        <v>926</v>
      </c>
      <c r="E201" s="64"/>
      <c r="F201" s="66">
        <v>440</v>
      </c>
      <c r="G201" s="67">
        <f t="shared" si="15"/>
        <v>10440000</v>
      </c>
      <c r="H201" s="278" t="s">
        <v>925</v>
      </c>
      <c r="I201" s="66" t="s">
        <v>232</v>
      </c>
      <c r="J201" s="66" t="s">
        <v>927</v>
      </c>
      <c r="K201" s="66" t="s">
        <v>232</v>
      </c>
      <c r="L201" s="66" t="s">
        <v>350</v>
      </c>
      <c r="M201" s="93">
        <f t="shared" si="17"/>
        <v>21992.400000000001</v>
      </c>
      <c r="N201" s="93">
        <v>100</v>
      </c>
      <c r="O201" s="94">
        <v>219924</v>
      </c>
      <c r="P201" s="116"/>
      <c r="Q201" s="71"/>
      <c r="R201" s="66"/>
      <c r="S201" s="66" t="s">
        <v>292</v>
      </c>
      <c r="T201" s="66" t="s">
        <v>298</v>
      </c>
      <c r="U201" s="78"/>
      <c r="V201" s="78"/>
      <c r="W201" s="78"/>
      <c r="X201" s="78"/>
      <c r="Y201" s="78"/>
      <c r="Z201" s="78"/>
      <c r="AA201" s="78"/>
      <c r="AB201" s="78"/>
      <c r="AC201" s="78"/>
      <c r="AD201" s="96"/>
      <c r="AE201" s="92"/>
      <c r="AF201" s="92"/>
      <c r="AG201" s="32"/>
    </row>
    <row r="202" spans="2:38">
      <c r="B202" s="113">
        <f t="shared" si="16"/>
        <v>167</v>
      </c>
      <c r="C202" s="64" t="s">
        <v>928</v>
      </c>
      <c r="D202" s="118" t="s">
        <v>929</v>
      </c>
      <c r="E202" s="118"/>
      <c r="F202" s="126">
        <v>537</v>
      </c>
      <c r="G202" s="67">
        <f t="shared" si="15"/>
        <v>10537000</v>
      </c>
      <c r="H202" s="278" t="s">
        <v>928</v>
      </c>
      <c r="I202" s="66" t="s">
        <v>739</v>
      </c>
      <c r="J202" s="126" t="s">
        <v>93</v>
      </c>
      <c r="K202" s="66" t="s">
        <v>739</v>
      </c>
      <c r="L202" s="126" t="s">
        <v>233</v>
      </c>
      <c r="M202" s="93">
        <f t="shared" si="17"/>
        <v>4620000</v>
      </c>
      <c r="N202" s="93">
        <v>100</v>
      </c>
      <c r="O202" s="123">
        <v>46200000</v>
      </c>
      <c r="P202" s="121"/>
      <c r="Q202" s="122"/>
      <c r="R202" s="126"/>
      <c r="S202" s="126"/>
      <c r="T202" s="126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96"/>
      <c r="AE202" s="92"/>
      <c r="AF202" s="92"/>
      <c r="AG202" s="32"/>
    </row>
    <row r="203" spans="2:38">
      <c r="B203" s="113">
        <f t="shared" si="16"/>
        <v>168</v>
      </c>
      <c r="C203" s="64" t="s">
        <v>930</v>
      </c>
      <c r="D203" s="64" t="s">
        <v>931</v>
      </c>
      <c r="E203" s="64"/>
      <c r="F203" s="66">
        <v>466</v>
      </c>
      <c r="G203" s="67">
        <f t="shared" si="15"/>
        <v>10466000</v>
      </c>
      <c r="H203" s="278" t="s">
        <v>930</v>
      </c>
      <c r="I203" s="66" t="s">
        <v>349</v>
      </c>
      <c r="J203" s="66" t="s">
        <v>73</v>
      </c>
      <c r="K203" s="66" t="s">
        <v>349</v>
      </c>
      <c r="L203" s="66" t="s">
        <v>233</v>
      </c>
      <c r="M203" s="93">
        <f t="shared" si="17"/>
        <v>53617.7</v>
      </c>
      <c r="N203" s="93">
        <v>100</v>
      </c>
      <c r="O203" s="94">
        <v>536177</v>
      </c>
      <c r="P203" s="70"/>
      <c r="Q203" s="71"/>
      <c r="R203" s="94" t="s">
        <v>234</v>
      </c>
      <c r="S203" s="94" t="s">
        <v>351</v>
      </c>
      <c r="T203" s="94" t="s">
        <v>932</v>
      </c>
      <c r="U203" s="78"/>
      <c r="V203" s="78"/>
      <c r="W203" s="78"/>
      <c r="X203" s="78"/>
      <c r="Y203" s="78"/>
      <c r="Z203" s="78"/>
      <c r="AA203" s="78"/>
      <c r="AB203" s="78"/>
      <c r="AC203" s="95"/>
      <c r="AD203" s="96"/>
      <c r="AE203" s="92"/>
      <c r="AF203" s="92"/>
      <c r="AG203" s="32" t="s">
        <v>933</v>
      </c>
      <c r="AK203" s="24" t="s">
        <v>934</v>
      </c>
    </row>
    <row r="204" spans="2:38">
      <c r="B204" s="113">
        <f t="shared" si="16"/>
        <v>169</v>
      </c>
      <c r="C204" s="64" t="s">
        <v>935</v>
      </c>
      <c r="D204" s="64" t="s">
        <v>936</v>
      </c>
      <c r="E204" s="64"/>
      <c r="F204" s="63">
        <v>469</v>
      </c>
      <c r="G204" s="67">
        <f t="shared" si="15"/>
        <v>10469000</v>
      </c>
      <c r="H204" s="278" t="s">
        <v>935</v>
      </c>
      <c r="I204" s="63" t="s">
        <v>286</v>
      </c>
      <c r="J204" s="63" t="s">
        <v>139</v>
      </c>
      <c r="K204" s="63" t="s">
        <v>286</v>
      </c>
      <c r="L204" s="63" t="s">
        <v>233</v>
      </c>
      <c r="M204" s="93">
        <f t="shared" si="17"/>
        <v>86141.1</v>
      </c>
      <c r="N204" s="93">
        <v>100</v>
      </c>
      <c r="O204" s="103">
        <v>861411</v>
      </c>
      <c r="P204" s="104"/>
      <c r="Q204" s="71"/>
      <c r="R204" s="94" t="s">
        <v>234</v>
      </c>
      <c r="S204" s="94" t="s">
        <v>677</v>
      </c>
      <c r="T204" s="94" t="s">
        <v>932</v>
      </c>
      <c r="U204" s="78"/>
      <c r="V204" s="78"/>
      <c r="W204" s="78"/>
      <c r="X204" s="79">
        <v>36132</v>
      </c>
      <c r="Y204" s="78">
        <f>935420*100</f>
        <v>93542000</v>
      </c>
      <c r="Z204" s="78">
        <v>935420</v>
      </c>
      <c r="AA204" s="78"/>
      <c r="AB204" s="78"/>
      <c r="AC204" s="95"/>
      <c r="AD204" s="80">
        <v>36136</v>
      </c>
      <c r="AE204" s="75"/>
      <c r="AF204" s="75"/>
      <c r="AG204" s="32"/>
      <c r="AH204" s="24" t="s">
        <v>937</v>
      </c>
    </row>
    <row r="205" spans="2:38">
      <c r="B205" s="113">
        <f t="shared" si="16"/>
        <v>170</v>
      </c>
      <c r="C205" s="64" t="s">
        <v>938</v>
      </c>
      <c r="D205" s="64" t="s">
        <v>939</v>
      </c>
      <c r="E205" s="64"/>
      <c r="F205" s="66">
        <v>377</v>
      </c>
      <c r="G205" s="67">
        <f t="shared" si="15"/>
        <v>10377000</v>
      </c>
      <c r="H205" s="278" t="s">
        <v>938</v>
      </c>
      <c r="I205" s="66" t="s">
        <v>453</v>
      </c>
      <c r="J205" s="66" t="s">
        <v>141</v>
      </c>
      <c r="K205" s="66" t="s">
        <v>453</v>
      </c>
      <c r="L205" s="66" t="s">
        <v>233</v>
      </c>
      <c r="M205" s="93">
        <f t="shared" si="17"/>
        <v>15605.4</v>
      </c>
      <c r="N205" s="93">
        <v>100</v>
      </c>
      <c r="O205" s="94">
        <f>96091-60500+120463</f>
        <v>156054</v>
      </c>
      <c r="P205" s="70"/>
      <c r="Q205" s="71"/>
      <c r="R205" s="94" t="s">
        <v>453</v>
      </c>
      <c r="S205" s="94" t="s">
        <v>454</v>
      </c>
      <c r="T205" s="94" t="s">
        <v>940</v>
      </c>
      <c r="U205" s="78"/>
      <c r="V205" s="78"/>
      <c r="W205" s="78"/>
      <c r="X205" s="78"/>
      <c r="Y205" s="78"/>
      <c r="Z205" s="78"/>
      <c r="AA205" s="78"/>
      <c r="AB205" s="78"/>
      <c r="AC205" s="95"/>
      <c r="AD205" s="96"/>
      <c r="AE205" s="92"/>
      <c r="AF205" s="92"/>
      <c r="AG205" s="32" t="s">
        <v>941</v>
      </c>
      <c r="AK205" s="24" t="s">
        <v>942</v>
      </c>
    </row>
    <row r="206" spans="2:38" ht="24">
      <c r="B206" s="113">
        <f t="shared" si="16"/>
        <v>171</v>
      </c>
      <c r="C206" s="64" t="s">
        <v>943</v>
      </c>
      <c r="D206" s="64" t="s">
        <v>944</v>
      </c>
      <c r="E206" s="163" t="s">
        <v>945</v>
      </c>
      <c r="F206" s="66">
        <v>546</v>
      </c>
      <c r="G206" s="67">
        <f t="shared" si="15"/>
        <v>10546000</v>
      </c>
      <c r="H206" s="278" t="s">
        <v>943</v>
      </c>
      <c r="I206" s="66" t="s">
        <v>946</v>
      </c>
      <c r="J206" s="66" t="s">
        <v>947</v>
      </c>
      <c r="K206" s="66" t="s">
        <v>946</v>
      </c>
      <c r="L206" s="66"/>
      <c r="M206" s="93">
        <f t="shared" si="17"/>
        <v>2560000</v>
      </c>
      <c r="N206" s="93">
        <v>640</v>
      </c>
      <c r="O206" s="94">
        <f>4000000</f>
        <v>4000000</v>
      </c>
      <c r="P206" s="70"/>
      <c r="Q206" s="71"/>
      <c r="R206" s="94"/>
      <c r="S206" s="94"/>
      <c r="T206" s="105">
        <v>43194</v>
      </c>
      <c r="U206" s="78"/>
      <c r="V206" s="78"/>
      <c r="W206" s="78"/>
      <c r="X206" s="79">
        <v>43243</v>
      </c>
      <c r="Y206" s="78"/>
      <c r="Z206" s="78"/>
      <c r="AA206" s="36"/>
      <c r="AB206" s="36"/>
      <c r="AC206" s="36"/>
      <c r="AD206" s="92"/>
      <c r="AE206" s="92"/>
      <c r="AF206" s="92"/>
      <c r="AG206" s="32"/>
    </row>
    <row r="207" spans="2:38" s="83" customFormat="1" ht="12.75" thickBot="1">
      <c r="B207" s="87"/>
      <c r="C207" s="106"/>
      <c r="D207" s="106"/>
      <c r="E207" s="92"/>
      <c r="F207" s="56"/>
      <c r="G207" s="56"/>
      <c r="H207" s="194"/>
      <c r="I207" s="56"/>
      <c r="J207" s="56"/>
      <c r="K207" s="56"/>
      <c r="L207" s="56"/>
      <c r="M207" s="164">
        <f>SUM(M36:M206)</f>
        <v>11785903056.43606</v>
      </c>
      <c r="N207" s="164"/>
      <c r="O207" s="164">
        <f>SUM(O36:O206)</f>
        <v>8589406076</v>
      </c>
      <c r="P207" s="112"/>
      <c r="Q207" s="60"/>
      <c r="R207" s="56"/>
      <c r="S207" s="56"/>
      <c r="T207" s="5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2"/>
      <c r="AH207" s="24"/>
      <c r="AI207" s="24"/>
      <c r="AJ207" s="24"/>
      <c r="AK207" s="24"/>
      <c r="AL207" s="24"/>
    </row>
    <row r="208" spans="2:38">
      <c r="B208" s="87"/>
      <c r="C208" s="106">
        <f>+B206+B35+B25</f>
        <v>199</v>
      </c>
      <c r="D208" s="110"/>
      <c r="E208" s="165"/>
      <c r="F208" s="166"/>
      <c r="G208" s="167"/>
      <c r="H208" s="281"/>
      <c r="I208" s="168"/>
      <c r="J208" s="167"/>
      <c r="K208" s="168"/>
      <c r="L208" s="56"/>
      <c r="M208" s="58"/>
      <c r="N208" s="90"/>
      <c r="O208" s="112"/>
      <c r="P208" s="60"/>
      <c r="Q208" s="56"/>
      <c r="R208" s="56"/>
      <c r="S208" s="56"/>
      <c r="T208" s="36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6"/>
      <c r="AF208" s="32"/>
      <c r="AG208" s="32"/>
    </row>
    <row r="209" spans="2:33">
      <c r="B209" s="111"/>
      <c r="C209" s="106"/>
      <c r="D209" s="32"/>
      <c r="E209" s="169"/>
      <c r="F209" s="169"/>
      <c r="G209" s="157"/>
      <c r="H209" s="282"/>
      <c r="I209" s="170"/>
      <c r="J209" s="157"/>
      <c r="K209" s="170"/>
      <c r="L209" s="32"/>
      <c r="M209" s="171"/>
      <c r="N209" s="171"/>
      <c r="O209" s="107" t="e">
        <f>O207+#REF!+#REF!</f>
        <v>#REF!</v>
      </c>
      <c r="P209" s="60"/>
      <c r="Q209" s="90"/>
      <c r="R209" s="90"/>
      <c r="S209" s="90"/>
      <c r="T209" s="9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6"/>
      <c r="AF209" s="32"/>
      <c r="AG209" s="32"/>
    </row>
    <row r="210" spans="2:33">
      <c r="B210" s="111"/>
      <c r="C210" s="106"/>
      <c r="D210" s="32"/>
      <c r="L210" s="32"/>
      <c r="M210" s="171"/>
      <c r="N210" s="171"/>
      <c r="O210" s="107"/>
      <c r="P210" s="60"/>
      <c r="Q210" s="90"/>
      <c r="R210" s="90"/>
      <c r="S210" s="90"/>
      <c r="T210" s="9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6"/>
      <c r="AF210" s="32"/>
      <c r="AG210" s="32"/>
    </row>
    <row r="211" spans="2:33" ht="12.75" thickBot="1">
      <c r="B211" s="111"/>
      <c r="C211" s="85"/>
      <c r="D211" s="85"/>
      <c r="E211" s="36"/>
      <c r="F211" s="36"/>
      <c r="G211" s="36"/>
      <c r="H211" s="194"/>
      <c r="I211" s="36"/>
      <c r="J211" s="36"/>
      <c r="K211" s="36"/>
      <c r="L211" s="36"/>
      <c r="M211" s="109"/>
      <c r="N211" s="107"/>
      <c r="O211" s="32"/>
      <c r="P211" s="172"/>
      <c r="Q211" s="16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6"/>
      <c r="AF211" s="32"/>
      <c r="AG211" s="32"/>
    </row>
    <row r="212" spans="2:33">
      <c r="B212" s="56"/>
      <c r="C212" s="173" t="s">
        <v>948</v>
      </c>
      <c r="D212" s="174">
        <f>B206+B35+B25</f>
        <v>199</v>
      </c>
      <c r="E212" s="354" t="s">
        <v>949</v>
      </c>
      <c r="F212" s="175"/>
      <c r="G212" s="36"/>
      <c r="H212" s="194"/>
      <c r="I212" s="60"/>
      <c r="J212" s="107"/>
      <c r="K212" s="60"/>
      <c r="L212" s="36"/>
      <c r="M212" s="36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6"/>
      <c r="Z212" s="32"/>
      <c r="AA212" s="32"/>
      <c r="AB212" s="32"/>
      <c r="AC212" s="32"/>
      <c r="AD212" s="32"/>
      <c r="AE212" s="32"/>
      <c r="AF212" s="32"/>
      <c r="AG212" s="32"/>
    </row>
    <row r="213" spans="2:33" ht="15.75" customHeight="1">
      <c r="B213" s="56"/>
      <c r="C213" s="173" t="s">
        <v>950</v>
      </c>
      <c r="D213" s="176" t="e">
        <f>#REF!+#REF!+O207</f>
        <v>#REF!</v>
      </c>
      <c r="E213" s="355"/>
      <c r="F213" s="175"/>
      <c r="G213" s="177"/>
      <c r="H213" s="283"/>
      <c r="I213" s="60"/>
      <c r="J213" s="107"/>
      <c r="K213" s="60"/>
      <c r="L213" s="36"/>
      <c r="M213" s="36"/>
      <c r="N213" s="32"/>
      <c r="O213" s="178"/>
      <c r="P213" s="32"/>
      <c r="Q213" s="32"/>
      <c r="R213" s="32"/>
      <c r="S213" s="32"/>
      <c r="T213" s="32"/>
      <c r="U213" s="32"/>
      <c r="V213" s="32"/>
      <c r="W213" s="32"/>
      <c r="X213" s="32"/>
      <c r="Y213" s="36" t="s">
        <v>951</v>
      </c>
      <c r="Z213" s="32"/>
      <c r="AA213" s="32"/>
      <c r="AB213" s="32"/>
      <c r="AC213" s="32"/>
      <c r="AD213" s="32"/>
      <c r="AE213" s="32"/>
      <c r="AF213" s="32"/>
      <c r="AG213" s="32"/>
    </row>
    <row r="214" spans="2:33">
      <c r="B214" s="56"/>
      <c r="C214" s="173" t="s">
        <v>952</v>
      </c>
      <c r="D214" s="179" t="e">
        <f>#REF!+#REF!</f>
        <v>#REF!</v>
      </c>
      <c r="E214" s="180" t="e">
        <f>D214*100/D213</f>
        <v>#REF!</v>
      </c>
      <c r="F214" s="181"/>
      <c r="G214" s="179"/>
      <c r="H214" s="284"/>
      <c r="I214" s="60"/>
      <c r="J214" s="162"/>
      <c r="K214" s="60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6"/>
      <c r="Z214" s="32"/>
      <c r="AA214" s="32"/>
      <c r="AB214" s="32"/>
      <c r="AC214" s="32"/>
      <c r="AD214" s="32"/>
      <c r="AE214" s="32"/>
      <c r="AF214" s="32"/>
      <c r="AG214" s="32"/>
    </row>
    <row r="215" spans="2:33" ht="12.75" thickBot="1">
      <c r="B215" s="56"/>
      <c r="C215" s="182" t="s">
        <v>953</v>
      </c>
      <c r="D215" s="183" t="e">
        <f>D213-D214</f>
        <v>#REF!</v>
      </c>
      <c r="E215" s="184" t="e">
        <f>D215*100/D213</f>
        <v>#REF!</v>
      </c>
      <c r="F215" s="181"/>
      <c r="G215" s="185"/>
      <c r="H215" s="285"/>
      <c r="I215" s="172"/>
      <c r="J215" s="32"/>
      <c r="K215" s="17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6"/>
      <c r="Z215" s="32"/>
      <c r="AA215" s="32"/>
      <c r="AB215" s="32"/>
      <c r="AC215" s="32"/>
      <c r="AD215" s="32"/>
      <c r="AE215" s="32"/>
      <c r="AF215" s="32"/>
      <c r="AG215" s="32"/>
    </row>
    <row r="216" spans="2:33">
      <c r="B216" s="56"/>
      <c r="C216" s="36"/>
      <c r="D216" s="175"/>
      <c r="E216" s="175"/>
      <c r="F216" s="175"/>
      <c r="G216" s="175"/>
      <c r="H216" s="286"/>
      <c r="I216" s="186"/>
      <c r="J216" s="187"/>
      <c r="K216" s="186"/>
      <c r="L216" s="175"/>
      <c r="M216" s="188"/>
      <c r="N216" s="112"/>
      <c r="O216" s="32"/>
      <c r="P216" s="17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6"/>
      <c r="AF216" s="32"/>
      <c r="AG216" s="32"/>
    </row>
    <row r="217" spans="2:33">
      <c r="B217" s="56"/>
      <c r="C217" s="175"/>
      <c r="D217" s="177"/>
      <c r="E217" s="175"/>
      <c r="F217" s="175"/>
      <c r="G217" s="175"/>
      <c r="H217" s="286"/>
      <c r="I217" s="189"/>
      <c r="J217" s="187"/>
      <c r="K217" s="189"/>
      <c r="L217" s="175"/>
      <c r="M217" s="188"/>
      <c r="N217" s="112"/>
      <c r="O217" s="32"/>
      <c r="P217" s="17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6"/>
      <c r="AF217" s="32"/>
      <c r="AG217" s="32"/>
    </row>
    <row r="218" spans="2:33">
      <c r="B218" s="56"/>
      <c r="C218" s="175"/>
      <c r="D218" s="175"/>
      <c r="E218" s="175"/>
      <c r="F218" s="175"/>
      <c r="G218" s="175"/>
      <c r="H218" s="286"/>
      <c r="I218" s="189"/>
      <c r="J218" s="187"/>
      <c r="K218" s="189"/>
      <c r="L218" s="175"/>
      <c r="M218" s="188"/>
      <c r="N218" s="112"/>
      <c r="O218" s="32"/>
      <c r="P218" s="17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6"/>
      <c r="AF218" s="32"/>
      <c r="AG218" s="32"/>
    </row>
    <row r="219" spans="2:33">
      <c r="B219" s="56"/>
      <c r="C219" s="175"/>
      <c r="D219" s="177"/>
      <c r="E219" s="175"/>
      <c r="F219" s="175"/>
      <c r="G219" s="175"/>
      <c r="H219" s="286"/>
      <c r="I219" s="189"/>
      <c r="J219" s="187"/>
      <c r="K219" s="189"/>
      <c r="L219" s="175"/>
      <c r="M219" s="188"/>
      <c r="N219" s="112"/>
      <c r="O219" s="32"/>
      <c r="P219" s="17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6"/>
      <c r="AF219" s="32"/>
      <c r="AG219" s="32"/>
    </row>
    <row r="220" spans="2:33">
      <c r="B220" s="56"/>
      <c r="C220" s="175"/>
      <c r="D220" s="175"/>
      <c r="E220" s="175"/>
      <c r="F220" s="175"/>
      <c r="G220" s="175"/>
      <c r="H220" s="286"/>
      <c r="I220" s="189"/>
      <c r="J220" s="187"/>
      <c r="K220" s="189"/>
      <c r="L220" s="175"/>
      <c r="M220" s="188"/>
      <c r="N220" s="112"/>
      <c r="O220" s="32"/>
      <c r="P220" s="17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6"/>
      <c r="AF220" s="32"/>
      <c r="AG220" s="32"/>
    </row>
    <row r="221" spans="2:33">
      <c r="B221" s="56"/>
      <c r="C221" s="175"/>
      <c r="D221" s="175"/>
      <c r="E221" s="175"/>
      <c r="F221" s="175"/>
      <c r="G221" s="175"/>
      <c r="H221" s="286"/>
      <c r="I221" s="189"/>
      <c r="J221" s="187"/>
      <c r="K221" s="189"/>
      <c r="L221" s="175"/>
      <c r="M221" s="188"/>
      <c r="N221" s="112"/>
      <c r="O221" s="32"/>
      <c r="P221" s="17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6"/>
      <c r="AF221" s="32"/>
      <c r="AG221" s="32"/>
    </row>
    <row r="222" spans="2:33">
      <c r="B222" s="56"/>
      <c r="C222" s="175"/>
      <c r="D222" s="175"/>
      <c r="E222" s="175"/>
      <c r="F222" s="175"/>
      <c r="G222" s="175"/>
      <c r="H222" s="286"/>
      <c r="I222" s="108"/>
      <c r="J222" s="187"/>
      <c r="K222" s="108"/>
      <c r="L222" s="175"/>
      <c r="M222" s="109"/>
      <c r="N222" s="112"/>
      <c r="O222" s="32"/>
      <c r="P222" s="17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6"/>
      <c r="AF222" s="32"/>
      <c r="AG222" s="32"/>
    </row>
    <row r="223" spans="2:33">
      <c r="B223" s="56"/>
      <c r="C223" s="175"/>
      <c r="D223" s="109"/>
      <c r="E223" s="109"/>
      <c r="F223" s="175"/>
      <c r="G223" s="175"/>
      <c r="H223" s="286"/>
      <c r="I223" s="186"/>
      <c r="J223" s="187"/>
      <c r="K223" s="186"/>
      <c r="L223" s="175"/>
      <c r="M223" s="190"/>
      <c r="N223" s="112"/>
      <c r="O223" s="32"/>
      <c r="P223" s="17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6"/>
      <c r="AF223" s="32"/>
      <c r="AG223" s="32"/>
    </row>
    <row r="224" spans="2:33">
      <c r="B224" s="56"/>
      <c r="C224" s="175"/>
      <c r="D224" s="191"/>
      <c r="E224" s="191"/>
      <c r="F224" s="188"/>
      <c r="G224" s="188"/>
      <c r="H224" s="287"/>
      <c r="I224" s="186"/>
      <c r="J224" s="187"/>
      <c r="K224" s="186"/>
      <c r="L224" s="175"/>
      <c r="M224" s="185"/>
      <c r="N224" s="112"/>
      <c r="O224" s="32"/>
      <c r="P224" s="17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6"/>
      <c r="AF224" s="32"/>
      <c r="AG224" s="32"/>
    </row>
    <row r="225" spans="2:33">
      <c r="B225" s="56"/>
      <c r="C225" s="175"/>
      <c r="D225" s="109"/>
      <c r="E225" s="109"/>
      <c r="F225" s="175"/>
      <c r="G225" s="175"/>
      <c r="H225" s="286"/>
      <c r="I225" s="186"/>
      <c r="J225" s="187"/>
      <c r="K225" s="186"/>
      <c r="L225" s="175"/>
      <c r="M225" s="188"/>
      <c r="N225" s="112"/>
      <c r="O225" s="32"/>
      <c r="P225" s="17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6"/>
      <c r="AF225" s="32"/>
      <c r="AG225" s="32"/>
    </row>
    <row r="226" spans="2:33">
      <c r="B226" s="56"/>
      <c r="C226" s="36"/>
      <c r="D226" s="36"/>
      <c r="E226" s="36"/>
      <c r="F226" s="192" t="s">
        <v>954</v>
      </c>
      <c r="G226" s="192"/>
      <c r="H226" s="288"/>
      <c r="I226" s="175"/>
      <c r="J226" s="175"/>
      <c r="K226" s="175"/>
      <c r="L226" s="175"/>
      <c r="M226" s="109"/>
      <c r="N226" s="112"/>
      <c r="O226" s="32"/>
      <c r="P226" s="17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6"/>
      <c r="AF226" s="32"/>
      <c r="AG226" s="32"/>
    </row>
    <row r="227" spans="2:33">
      <c r="B227" s="56"/>
      <c r="C227" s="36"/>
      <c r="D227" s="177"/>
      <c r="E227" s="177"/>
      <c r="F227" s="36"/>
      <c r="G227" s="36"/>
      <c r="H227" s="194"/>
      <c r="I227" s="175"/>
      <c r="J227" s="36"/>
      <c r="K227" s="175"/>
      <c r="L227" s="36"/>
      <c r="M227" s="109"/>
      <c r="N227" s="112"/>
      <c r="O227" s="32"/>
      <c r="P227" s="172"/>
      <c r="Q227" s="32"/>
      <c r="R227" s="32"/>
      <c r="S227" s="32"/>
      <c r="T227" s="32"/>
      <c r="U227" s="36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</row>
    <row r="228" spans="2:33">
      <c r="B228" s="56"/>
      <c r="C228" s="28" t="s">
        <v>955</v>
      </c>
      <c r="D228" s="177"/>
      <c r="E228" s="177"/>
      <c r="F228" s="72"/>
      <c r="G228" s="72"/>
      <c r="H228" s="289"/>
      <c r="I228" s="193"/>
      <c r="J228" s="36"/>
      <c r="K228" s="193"/>
      <c r="L228" s="36"/>
      <c r="M228" s="190"/>
      <c r="N228" s="112"/>
      <c r="O228" s="32"/>
      <c r="P228" s="172"/>
      <c r="Q228" s="32"/>
      <c r="R228" s="32"/>
      <c r="S228" s="32"/>
      <c r="T228" s="32"/>
      <c r="U228" s="36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</row>
    <row r="229" spans="2:33">
      <c r="B229" s="56"/>
      <c r="C229" s="36"/>
      <c r="D229" s="36"/>
      <c r="E229" s="36"/>
      <c r="F229" s="73"/>
      <c r="G229" s="73"/>
      <c r="H229" s="289"/>
      <c r="I229" s="193"/>
      <c r="J229" s="36"/>
      <c r="K229" s="193"/>
      <c r="L229" s="36"/>
      <c r="M229" s="109"/>
      <c r="N229" s="32"/>
      <c r="O229" s="56"/>
      <c r="P229" s="172"/>
      <c r="Q229" s="32"/>
      <c r="R229" s="32"/>
      <c r="S229" s="32"/>
      <c r="T229" s="32"/>
      <c r="U229" s="36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</row>
    <row r="230" spans="2:33">
      <c r="B230" s="56"/>
      <c r="C230" s="106" t="s">
        <v>956</v>
      </c>
      <c r="D230" s="194" t="s">
        <v>957</v>
      </c>
      <c r="E230" s="194"/>
      <c r="F230" s="56"/>
      <c r="G230" s="56"/>
      <c r="H230" s="194"/>
      <c r="I230" s="194"/>
      <c r="J230" s="36"/>
      <c r="K230" s="194"/>
      <c r="L230" s="36"/>
      <c r="M230" s="109"/>
      <c r="N230" s="195"/>
      <c r="O230" s="56"/>
      <c r="P230" s="172"/>
      <c r="Q230" s="32"/>
      <c r="R230" s="32"/>
      <c r="S230" s="32"/>
      <c r="T230" s="32"/>
      <c r="U230" s="36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</row>
    <row r="231" spans="2:33">
      <c r="B231" s="56"/>
      <c r="C231" s="106" t="s">
        <v>958</v>
      </c>
      <c r="D231" s="196" t="s">
        <v>959</v>
      </c>
      <c r="E231" s="196"/>
      <c r="F231" s="56"/>
      <c r="G231" s="56"/>
      <c r="H231" s="194"/>
      <c r="I231" s="112"/>
      <c r="J231" s="56"/>
      <c r="K231" s="112"/>
      <c r="L231" s="56"/>
      <c r="M231" s="190"/>
      <c r="N231" s="56"/>
      <c r="O231" s="56"/>
      <c r="P231" s="172"/>
      <c r="Q231" s="32"/>
      <c r="R231" s="32"/>
      <c r="S231" s="32"/>
      <c r="T231" s="32"/>
      <c r="U231" s="36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</row>
    <row r="232" spans="2:33">
      <c r="B232" s="56"/>
      <c r="C232" s="106" t="s">
        <v>960</v>
      </c>
      <c r="D232" s="196" t="s">
        <v>961</v>
      </c>
      <c r="E232" s="196"/>
      <c r="F232" s="56"/>
      <c r="G232" s="56"/>
      <c r="H232" s="194"/>
      <c r="I232" s="112"/>
      <c r="J232" s="56"/>
      <c r="K232" s="112"/>
      <c r="L232" s="56"/>
      <c r="M232" s="190"/>
      <c r="N232" s="56"/>
      <c r="O232" s="56"/>
      <c r="P232" s="60"/>
      <c r="Q232" s="56"/>
      <c r="R232" s="56"/>
      <c r="S232" s="56"/>
      <c r="T232" s="56"/>
      <c r="U232" s="36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</row>
    <row r="233" spans="2:33">
      <c r="B233" s="56"/>
      <c r="C233" s="106" t="s">
        <v>962</v>
      </c>
      <c r="D233" s="196" t="s">
        <v>963</v>
      </c>
      <c r="E233" s="196"/>
      <c r="F233" s="56"/>
      <c r="G233" s="56"/>
      <c r="H233" s="194"/>
      <c r="I233" s="112"/>
      <c r="J233" s="56"/>
      <c r="K233" s="112"/>
      <c r="L233" s="56"/>
      <c r="M233" s="190"/>
      <c r="N233" s="56"/>
      <c r="O233" s="56"/>
      <c r="P233" s="60"/>
      <c r="Q233" s="56"/>
      <c r="R233" s="56"/>
      <c r="S233" s="56"/>
      <c r="T233" s="56"/>
      <c r="U233" s="36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</row>
    <row r="234" spans="2:33">
      <c r="B234" s="56"/>
      <c r="C234" s="197" t="s">
        <v>964</v>
      </c>
      <c r="D234" s="196" t="s">
        <v>965</v>
      </c>
      <c r="E234" s="196"/>
      <c r="F234" s="56"/>
      <c r="G234" s="56"/>
      <c r="H234" s="194"/>
      <c r="I234" s="112"/>
      <c r="J234" s="56"/>
      <c r="K234" s="112"/>
      <c r="L234" s="56"/>
      <c r="M234" s="190"/>
      <c r="N234" s="56"/>
      <c r="O234" s="56"/>
      <c r="P234" s="60"/>
      <c r="Q234" s="56"/>
      <c r="R234" s="56"/>
      <c r="S234" s="56"/>
      <c r="T234" s="56"/>
      <c r="U234" s="36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</row>
    <row r="235" spans="2:33">
      <c r="B235" s="56"/>
      <c r="C235" s="197" t="s">
        <v>966</v>
      </c>
      <c r="D235" s="196" t="s">
        <v>967</v>
      </c>
      <c r="E235" s="196"/>
      <c r="F235" s="56"/>
      <c r="G235" s="56"/>
      <c r="H235" s="194"/>
      <c r="I235" s="112"/>
      <c r="J235" s="56"/>
      <c r="K235" s="112"/>
      <c r="L235" s="56"/>
      <c r="M235" s="190"/>
      <c r="N235" s="56"/>
      <c r="O235" s="56"/>
      <c r="P235" s="60"/>
      <c r="Q235" s="56"/>
      <c r="R235" s="56"/>
      <c r="S235" s="56"/>
      <c r="T235" s="56"/>
      <c r="U235" s="36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</row>
    <row r="236" spans="2:33">
      <c r="B236" s="56"/>
      <c r="C236" s="197" t="s">
        <v>968</v>
      </c>
      <c r="D236" s="196" t="s">
        <v>969</v>
      </c>
      <c r="E236" s="196"/>
      <c r="F236" s="56"/>
      <c r="G236" s="56"/>
      <c r="H236" s="194"/>
      <c r="I236" s="112"/>
      <c r="J236" s="56"/>
      <c r="K236" s="112"/>
      <c r="L236" s="56"/>
      <c r="M236" s="190"/>
      <c r="N236" s="56"/>
      <c r="O236" s="56"/>
      <c r="P236" s="60"/>
      <c r="Q236" s="56"/>
      <c r="R236" s="56"/>
      <c r="S236" s="56"/>
      <c r="T236" s="56"/>
      <c r="U236" s="36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</row>
    <row r="237" spans="2:33">
      <c r="B237" s="56"/>
      <c r="C237" s="197" t="s">
        <v>970</v>
      </c>
      <c r="D237" s="196" t="s">
        <v>971</v>
      </c>
      <c r="E237" s="196"/>
      <c r="F237" s="56"/>
      <c r="G237" s="56"/>
      <c r="H237" s="194"/>
      <c r="I237" s="36"/>
      <c r="J237" s="36"/>
      <c r="K237" s="36"/>
      <c r="L237" s="36"/>
      <c r="M237" s="58"/>
      <c r="N237" s="56"/>
      <c r="O237" s="56"/>
      <c r="P237" s="60"/>
      <c r="Q237" s="56"/>
      <c r="R237" s="56"/>
      <c r="S237" s="56"/>
      <c r="T237" s="56"/>
      <c r="U237" s="36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2:33">
      <c r="B238" s="56"/>
      <c r="C238" s="197" t="s">
        <v>972</v>
      </c>
      <c r="D238" s="196" t="s">
        <v>973</v>
      </c>
      <c r="E238" s="196"/>
      <c r="F238" s="56"/>
      <c r="G238" s="56"/>
      <c r="H238" s="194"/>
      <c r="I238" s="36"/>
      <c r="J238" s="36"/>
      <c r="K238" s="36"/>
      <c r="L238" s="36"/>
      <c r="M238" s="109"/>
      <c r="N238" s="56"/>
      <c r="O238" s="56"/>
      <c r="P238" s="60"/>
      <c r="Q238" s="56"/>
      <c r="R238" s="56"/>
      <c r="S238" s="56"/>
      <c r="T238" s="56"/>
      <c r="U238" s="36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</row>
    <row r="239" spans="2:33">
      <c r="B239" s="56"/>
      <c r="C239" s="197" t="s">
        <v>974</v>
      </c>
      <c r="D239" s="196" t="s">
        <v>975</v>
      </c>
      <c r="E239" s="196"/>
      <c r="F239" s="56"/>
      <c r="G239" s="56"/>
      <c r="H239" s="194"/>
      <c r="I239" s="36"/>
      <c r="J239" s="36"/>
      <c r="K239" s="36"/>
      <c r="L239" s="36"/>
      <c r="M239" s="58"/>
      <c r="N239" s="56"/>
      <c r="O239" s="56"/>
      <c r="P239" s="60"/>
      <c r="Q239" s="56"/>
      <c r="R239" s="56"/>
      <c r="S239" s="56"/>
      <c r="T239" s="56"/>
      <c r="U239" s="36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</row>
    <row r="240" spans="2:33">
      <c r="B240" s="56"/>
      <c r="C240" s="106" t="s">
        <v>976</v>
      </c>
      <c r="D240" s="196" t="s">
        <v>977</v>
      </c>
      <c r="E240" s="196"/>
      <c r="F240" s="36"/>
      <c r="G240" s="36"/>
      <c r="H240" s="194"/>
      <c r="I240" s="36"/>
      <c r="J240" s="36"/>
      <c r="K240" s="36"/>
      <c r="L240" s="36"/>
      <c r="M240" s="109"/>
      <c r="N240" s="56"/>
      <c r="O240" s="56"/>
      <c r="P240" s="60"/>
      <c r="Q240" s="56"/>
      <c r="R240" s="56"/>
      <c r="S240" s="56"/>
      <c r="T240" s="56"/>
      <c r="U240" s="36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</row>
    <row r="241" spans="2:33">
      <c r="B241" s="56"/>
      <c r="C241" s="36"/>
      <c r="D241" s="36"/>
      <c r="E241" s="36"/>
      <c r="F241" s="36"/>
      <c r="G241" s="36"/>
      <c r="H241" s="194"/>
      <c r="I241" s="36"/>
      <c r="J241" s="36"/>
      <c r="K241" s="36"/>
      <c r="L241" s="36"/>
      <c r="M241" s="109"/>
      <c r="N241" s="56"/>
      <c r="O241" s="56"/>
      <c r="P241" s="60"/>
      <c r="Q241" s="56"/>
      <c r="R241" s="56"/>
      <c r="S241" s="56"/>
      <c r="T241" s="56"/>
      <c r="U241" s="36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</row>
    <row r="242" spans="2:33">
      <c r="B242" s="56"/>
      <c r="C242" s="36"/>
      <c r="D242" s="78"/>
      <c r="E242" s="353">
        <v>2008</v>
      </c>
      <c r="F242" s="353"/>
      <c r="G242" s="353">
        <v>2009</v>
      </c>
      <c r="H242" s="353"/>
      <c r="I242" s="353"/>
      <c r="J242" s="353" t="s">
        <v>978</v>
      </c>
      <c r="K242" s="353"/>
      <c r="L242" s="353"/>
      <c r="M242" s="353" t="s">
        <v>979</v>
      </c>
      <c r="N242" s="353"/>
      <c r="O242" s="353" t="s">
        <v>980</v>
      </c>
      <c r="P242" s="353"/>
      <c r="Q242" s="353" t="s">
        <v>981</v>
      </c>
      <c r="R242" s="353"/>
      <c r="S242" s="353" t="s">
        <v>982</v>
      </c>
      <c r="T242" s="353"/>
      <c r="U242" s="353" t="s">
        <v>983</v>
      </c>
      <c r="V242" s="353"/>
      <c r="W242" s="353" t="s">
        <v>984</v>
      </c>
      <c r="X242" s="353"/>
      <c r="Y242" s="32"/>
      <c r="Z242" s="32"/>
      <c r="AA242" s="32"/>
      <c r="AB242" s="32"/>
      <c r="AC242" s="32"/>
      <c r="AD242" s="32"/>
      <c r="AE242" s="32"/>
      <c r="AF242" s="32"/>
      <c r="AG242" s="32"/>
    </row>
    <row r="243" spans="2:33">
      <c r="B243" s="56"/>
      <c r="C243" s="173" t="s">
        <v>985</v>
      </c>
      <c r="D243" s="78" t="s">
        <v>986</v>
      </c>
      <c r="E243" s="78">
        <v>64</v>
      </c>
      <c r="F243" s="115">
        <f>E243/376</f>
        <v>0.1702127659574468</v>
      </c>
      <c r="G243" s="78">
        <v>63</v>
      </c>
      <c r="H243" s="280"/>
      <c r="I243" s="115">
        <f>G243/358</f>
        <v>0.17597765363128492</v>
      </c>
      <c r="J243" s="78">
        <f>3+7+48</f>
        <v>58</v>
      </c>
      <c r="K243" s="115">
        <f>J243/358</f>
        <v>0.16201117318435754</v>
      </c>
      <c r="L243" s="115">
        <f>J243/336</f>
        <v>0.17261904761904762</v>
      </c>
      <c r="M243" s="66">
        <f>3+7+48</f>
        <v>58</v>
      </c>
      <c r="N243" s="198">
        <f>M243/336</f>
        <v>0.17261904761904762</v>
      </c>
      <c r="O243" s="66">
        <f>3+7+48</f>
        <v>58</v>
      </c>
      <c r="P243" s="198">
        <f>O243/336</f>
        <v>0.17261904761904762</v>
      </c>
      <c r="Q243" s="78">
        <v>57</v>
      </c>
      <c r="R243" s="199">
        <f>Q243/330</f>
        <v>0.17272727272727273</v>
      </c>
      <c r="S243" s="78">
        <v>58</v>
      </c>
      <c r="T243" s="199">
        <f>S243/330</f>
        <v>0.17575757575757575</v>
      </c>
      <c r="U243" s="78">
        <f>3+6+37</f>
        <v>46</v>
      </c>
      <c r="V243" s="199">
        <f>U243/261</f>
        <v>0.17624521072796934</v>
      </c>
      <c r="W243" s="78">
        <v>43</v>
      </c>
      <c r="X243" s="199">
        <f>W243/246</f>
        <v>0.17479674796747968</v>
      </c>
      <c r="Y243" s="32"/>
      <c r="Z243" s="32"/>
      <c r="AA243" s="32"/>
      <c r="AB243" s="32"/>
      <c r="AC243" s="32"/>
      <c r="AD243" s="32"/>
      <c r="AE243" s="32"/>
      <c r="AF243" s="32"/>
      <c r="AG243" s="32"/>
    </row>
    <row r="244" spans="2:33">
      <c r="B244" s="56"/>
      <c r="C244" s="36"/>
      <c r="D244" s="78" t="s">
        <v>987</v>
      </c>
      <c r="E244" s="78">
        <v>70</v>
      </c>
      <c r="F244" s="115">
        <f>E244/376</f>
        <v>0.18617021276595744</v>
      </c>
      <c r="G244" s="78">
        <v>69</v>
      </c>
      <c r="H244" s="280"/>
      <c r="I244" s="115">
        <f>G244/358</f>
        <v>0.19273743016759776</v>
      </c>
      <c r="J244" s="78">
        <f>3+62</f>
        <v>65</v>
      </c>
      <c r="K244" s="115">
        <f>J244/358</f>
        <v>0.18156424581005587</v>
      </c>
      <c r="L244" s="115">
        <f>J244/336</f>
        <v>0.19345238095238096</v>
      </c>
      <c r="M244" s="66">
        <f>3+62</f>
        <v>65</v>
      </c>
      <c r="N244" s="198">
        <f>M244/336</f>
        <v>0.19345238095238096</v>
      </c>
      <c r="O244" s="66">
        <f>3+62</f>
        <v>65</v>
      </c>
      <c r="P244" s="198">
        <f>O244/336</f>
        <v>0.19345238095238096</v>
      </c>
      <c r="Q244" s="78">
        <v>65</v>
      </c>
      <c r="R244" s="199">
        <f>Q244/330</f>
        <v>0.19696969696969696</v>
      </c>
      <c r="S244" s="78">
        <v>64</v>
      </c>
      <c r="T244" s="199">
        <f>S244/330</f>
        <v>0.19393939393939394</v>
      </c>
      <c r="U244" s="78">
        <f>3+54</f>
        <v>57</v>
      </c>
      <c r="V244" s="199">
        <f>U244/261</f>
        <v>0.21839080459770116</v>
      </c>
      <c r="W244" s="78">
        <v>56</v>
      </c>
      <c r="X244" s="199">
        <f>W244/246</f>
        <v>0.22764227642276422</v>
      </c>
      <c r="Y244" s="32"/>
      <c r="Z244" s="32"/>
      <c r="AA244" s="32"/>
      <c r="AB244" s="32"/>
      <c r="AC244" s="32"/>
      <c r="AD244" s="32"/>
      <c r="AE244" s="32"/>
      <c r="AF244" s="32"/>
      <c r="AG244" s="32"/>
    </row>
    <row r="245" spans="2:33">
      <c r="B245" s="56"/>
      <c r="C245" s="36"/>
      <c r="D245" s="78" t="s">
        <v>988</v>
      </c>
      <c r="E245" s="78">
        <v>75</v>
      </c>
      <c r="F245" s="115">
        <f>E245/376</f>
        <v>0.19946808510638298</v>
      </c>
      <c r="G245" s="78">
        <v>70</v>
      </c>
      <c r="H245" s="280"/>
      <c r="I245" s="115">
        <f>G245/358</f>
        <v>0.19553072625698323</v>
      </c>
      <c r="J245" s="78">
        <f>60+7+1</f>
        <v>68</v>
      </c>
      <c r="K245" s="115">
        <f>J245/358</f>
        <v>0.18994413407821228</v>
      </c>
      <c r="L245" s="115">
        <f>J245/336</f>
        <v>0.20238095238095238</v>
      </c>
      <c r="M245" s="66">
        <f>1+7+60</f>
        <v>68</v>
      </c>
      <c r="N245" s="198">
        <f>M245/336</f>
        <v>0.20238095238095238</v>
      </c>
      <c r="O245" s="66">
        <f>1+7+60</f>
        <v>68</v>
      </c>
      <c r="P245" s="198">
        <f>O245/336</f>
        <v>0.20238095238095238</v>
      </c>
      <c r="Q245" s="78">
        <v>68</v>
      </c>
      <c r="R245" s="199">
        <f>Q245/330</f>
        <v>0.20606060606060606</v>
      </c>
      <c r="S245" s="78">
        <v>67</v>
      </c>
      <c r="T245" s="199">
        <f>S245/330</f>
        <v>0.20303030303030303</v>
      </c>
      <c r="U245" s="78">
        <f>1+40</f>
        <v>41</v>
      </c>
      <c r="V245" s="199">
        <f>U245/261</f>
        <v>0.15708812260536398</v>
      </c>
      <c r="W245" s="78">
        <v>37</v>
      </c>
      <c r="X245" s="199">
        <f>W245/246</f>
        <v>0.15040650406504066</v>
      </c>
      <c r="Y245" s="32"/>
      <c r="Z245" s="32"/>
      <c r="AA245" s="32"/>
      <c r="AB245" s="32"/>
      <c r="AC245" s="32"/>
      <c r="AD245" s="32"/>
      <c r="AE245" s="32"/>
      <c r="AF245" s="32"/>
      <c r="AG245" s="32"/>
    </row>
    <row r="246" spans="2:33">
      <c r="B246" s="56"/>
      <c r="C246" s="36"/>
      <c r="D246" s="78" t="s">
        <v>989</v>
      </c>
      <c r="E246" s="78">
        <v>98</v>
      </c>
      <c r="F246" s="115">
        <f>E246/376</f>
        <v>0.26063829787234044</v>
      </c>
      <c r="G246" s="78">
        <v>92</v>
      </c>
      <c r="H246" s="280"/>
      <c r="I246" s="115">
        <f>G246/358</f>
        <v>0.25698324022346369</v>
      </c>
      <c r="J246" s="78">
        <f>66+6+14</f>
        <v>86</v>
      </c>
      <c r="K246" s="115">
        <f>J246/358</f>
        <v>0.24022346368715083</v>
      </c>
      <c r="L246" s="115">
        <f>J246/336</f>
        <v>0.25595238095238093</v>
      </c>
      <c r="M246" s="66">
        <f>86-2+1</f>
        <v>85</v>
      </c>
      <c r="N246" s="198">
        <f>M246/336</f>
        <v>0.25297619047619047</v>
      </c>
      <c r="O246" s="66">
        <f>86-2+1</f>
        <v>85</v>
      </c>
      <c r="P246" s="198">
        <f>O246/336</f>
        <v>0.25297619047619047</v>
      </c>
      <c r="Q246" s="78">
        <v>83</v>
      </c>
      <c r="R246" s="199">
        <f>Q246/330</f>
        <v>0.25151515151515152</v>
      </c>
      <c r="S246" s="78">
        <v>83</v>
      </c>
      <c r="T246" s="199">
        <f>S246/330</f>
        <v>0.25151515151515152</v>
      </c>
      <c r="U246" s="78">
        <f>14+3+54</f>
        <v>71</v>
      </c>
      <c r="V246" s="199">
        <f>U246/261</f>
        <v>0.27203065134099619</v>
      </c>
      <c r="W246" s="78">
        <v>67</v>
      </c>
      <c r="X246" s="199">
        <f>W246/246</f>
        <v>0.27235772357723576</v>
      </c>
      <c r="Y246" s="32"/>
      <c r="Z246" s="32"/>
      <c r="AA246" s="32"/>
      <c r="AB246" s="32"/>
      <c r="AC246" s="32"/>
      <c r="AD246" s="32"/>
      <c r="AE246" s="32"/>
      <c r="AF246" s="32"/>
      <c r="AG246" s="32"/>
    </row>
    <row r="247" spans="2:33">
      <c r="B247" s="56"/>
      <c r="C247" s="36"/>
      <c r="D247" s="78" t="s">
        <v>990</v>
      </c>
      <c r="E247" s="78">
        <v>69</v>
      </c>
      <c r="F247" s="115">
        <f>E247/376</f>
        <v>0.18351063829787234</v>
      </c>
      <c r="G247" s="78">
        <v>64</v>
      </c>
      <c r="H247" s="280"/>
      <c r="I247" s="115">
        <f>G247/358</f>
        <v>0.1787709497206704</v>
      </c>
      <c r="J247" s="78">
        <f>49+6+4</f>
        <v>59</v>
      </c>
      <c r="K247" s="115">
        <f>J247/358</f>
        <v>0.16480446927374301</v>
      </c>
      <c r="L247" s="115">
        <f>J247/336</f>
        <v>0.17559523809523808</v>
      </c>
      <c r="M247" s="66">
        <f>59-1</f>
        <v>58</v>
      </c>
      <c r="N247" s="198">
        <f>M247/336</f>
        <v>0.17261904761904762</v>
      </c>
      <c r="O247" s="66">
        <v>56</v>
      </c>
      <c r="P247" s="198">
        <f>O247/336</f>
        <v>0.16666666666666666</v>
      </c>
      <c r="Q247" s="78">
        <v>57</v>
      </c>
      <c r="R247" s="199">
        <f>Q247/330</f>
        <v>0.17272727272727273</v>
      </c>
      <c r="S247" s="78">
        <v>55</v>
      </c>
      <c r="T247" s="199">
        <f>S247/330</f>
        <v>0.16666666666666666</v>
      </c>
      <c r="U247" s="78">
        <f>4+5+37</f>
        <v>46</v>
      </c>
      <c r="V247" s="199">
        <f>U247/261</f>
        <v>0.17624521072796934</v>
      </c>
      <c r="W247" s="78">
        <v>43</v>
      </c>
      <c r="X247" s="199">
        <f>W247/246</f>
        <v>0.17479674796747968</v>
      </c>
      <c r="Y247" s="32"/>
      <c r="Z247" s="32"/>
      <c r="AA247" s="32"/>
      <c r="AB247" s="32"/>
      <c r="AC247" s="32"/>
      <c r="AD247" s="32"/>
      <c r="AE247" s="32"/>
      <c r="AF247" s="32"/>
      <c r="AG247" s="32"/>
    </row>
    <row r="248" spans="2:33">
      <c r="B248" s="56"/>
      <c r="C248" s="36"/>
      <c r="D248" s="36"/>
      <c r="E248" s="36"/>
      <c r="F248" s="36"/>
      <c r="G248" s="36"/>
      <c r="H248" s="194"/>
      <c r="I248" s="36"/>
      <c r="J248" s="36"/>
      <c r="K248" s="36"/>
      <c r="L248" s="36"/>
      <c r="M248" s="109"/>
      <c r="N248" s="56"/>
      <c r="O248" s="56"/>
      <c r="P248" s="60"/>
      <c r="Q248" s="56"/>
      <c r="R248" s="56"/>
      <c r="S248" s="56"/>
      <c r="T248" s="56"/>
      <c r="U248" s="36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</row>
    <row r="249" spans="2:33">
      <c r="B249" s="56"/>
      <c r="C249" s="36"/>
      <c r="D249" s="36"/>
      <c r="E249" s="36"/>
      <c r="F249" s="36"/>
      <c r="G249" s="36"/>
      <c r="H249" s="194"/>
      <c r="I249" s="36"/>
      <c r="J249" s="36"/>
      <c r="K249" s="36"/>
      <c r="L249" s="36"/>
      <c r="M249" s="109"/>
      <c r="N249" s="56"/>
      <c r="O249" s="56"/>
      <c r="P249" s="60"/>
      <c r="Q249" s="56"/>
      <c r="R249" s="56"/>
      <c r="S249" s="56"/>
      <c r="T249" s="56"/>
      <c r="U249" s="36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</row>
    <row r="250" spans="2:33" s="86" customFormat="1" ht="12.75" thickBot="1">
      <c r="B250" s="200"/>
      <c r="C250" s="85"/>
      <c r="D250" s="85"/>
      <c r="E250" s="85"/>
      <c r="F250" s="85"/>
      <c r="G250" s="85"/>
      <c r="H250" s="290"/>
      <c r="I250" s="85"/>
      <c r="J250" s="85"/>
      <c r="K250" s="85"/>
      <c r="L250" s="85"/>
      <c r="M250" s="201"/>
      <c r="N250" s="200"/>
      <c r="O250" s="200"/>
      <c r="P250" s="202"/>
      <c r="Q250" s="200"/>
      <c r="R250" s="200"/>
      <c r="S250" s="200"/>
      <c r="T250" s="200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</row>
    <row r="251" spans="2:33" s="203" customFormat="1" ht="12.75" thickBot="1">
      <c r="B251" s="204" t="s">
        <v>991</v>
      </c>
      <c r="C251" s="205"/>
      <c r="D251" s="205"/>
      <c r="E251" s="205"/>
      <c r="F251" s="205"/>
      <c r="G251" s="205"/>
      <c r="H251" s="291"/>
      <c r="I251" s="205"/>
      <c r="J251" s="205"/>
      <c r="K251" s="205"/>
      <c r="L251" s="205"/>
      <c r="M251" s="206"/>
      <c r="N251" s="205"/>
      <c r="O251" s="207"/>
      <c r="P251" s="208"/>
      <c r="Q251" s="207"/>
      <c r="R251" s="207"/>
      <c r="S251" s="207"/>
      <c r="T251" s="207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</row>
    <row r="252" spans="2:33">
      <c r="B252" s="111"/>
      <c r="C252" s="32" t="s">
        <v>992</v>
      </c>
      <c r="D252" s="32"/>
      <c r="E252" s="32"/>
      <c r="F252" s="32"/>
      <c r="G252" s="32"/>
      <c r="H252" s="196"/>
      <c r="I252" s="32"/>
      <c r="J252" s="32"/>
      <c r="K252" s="32"/>
      <c r="L252" s="32"/>
      <c r="M252" s="190"/>
      <c r="N252" s="32"/>
      <c r="O252" s="32"/>
      <c r="P252" s="17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</row>
    <row r="253" spans="2:33">
      <c r="B253" s="111"/>
      <c r="C253" s="32"/>
      <c r="D253" s="32"/>
      <c r="E253" s="32"/>
      <c r="F253" s="32"/>
      <c r="G253" s="32"/>
      <c r="H253" s="196"/>
      <c r="I253" s="32"/>
      <c r="J253" s="32"/>
      <c r="K253" s="32"/>
      <c r="L253" s="32"/>
      <c r="M253" s="190"/>
      <c r="N253" s="32"/>
      <c r="O253" s="32"/>
      <c r="P253" s="17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</row>
    <row r="254" spans="2:33">
      <c r="B254" s="111"/>
      <c r="C254" s="28" t="s">
        <v>993</v>
      </c>
      <c r="D254" s="32"/>
      <c r="E254" s="32"/>
      <c r="F254" s="32"/>
      <c r="G254" s="32"/>
      <c r="H254" s="196"/>
      <c r="I254" s="32"/>
      <c r="J254" s="32"/>
      <c r="K254" s="32"/>
      <c r="L254" s="32"/>
      <c r="M254" s="190"/>
      <c r="N254" s="32"/>
      <c r="O254" s="32"/>
      <c r="P254" s="17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</row>
    <row r="255" spans="2:33">
      <c r="B255" s="111"/>
      <c r="C255" s="32"/>
      <c r="D255" s="32"/>
      <c r="E255" s="32"/>
      <c r="F255" s="32"/>
      <c r="G255" s="32"/>
      <c r="H255" s="196"/>
      <c r="I255" s="32"/>
      <c r="J255" s="32"/>
      <c r="K255" s="32"/>
      <c r="L255" s="32"/>
      <c r="M255" s="190"/>
      <c r="N255" s="32"/>
      <c r="O255" s="32"/>
      <c r="P255" s="17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</row>
    <row r="256" spans="2:33">
      <c r="B256" s="66">
        <v>1</v>
      </c>
      <c r="C256" s="78" t="s">
        <v>994</v>
      </c>
      <c r="D256" s="78" t="s">
        <v>995</v>
      </c>
      <c r="E256" s="78"/>
      <c r="F256" s="78"/>
      <c r="G256" s="78"/>
      <c r="H256" s="280"/>
      <c r="I256" s="78" t="s">
        <v>552</v>
      </c>
      <c r="J256" s="209" t="s">
        <v>996</v>
      </c>
      <c r="K256" s="78" t="s">
        <v>552</v>
      </c>
      <c r="L256" s="78"/>
      <c r="M256" s="66" t="s">
        <v>997</v>
      </c>
      <c r="N256" s="32"/>
      <c r="O256" s="71">
        <v>41487</v>
      </c>
      <c r="P256" s="71"/>
      <c r="Q256" s="66"/>
      <c r="R256" s="66"/>
      <c r="S256" s="66"/>
      <c r="T256" s="66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32"/>
      <c r="AG256" s="32"/>
    </row>
    <row r="257" spans="1:33">
      <c r="B257" s="66">
        <v>2</v>
      </c>
      <c r="C257" s="78" t="s">
        <v>998</v>
      </c>
      <c r="D257" s="78" t="s">
        <v>999</v>
      </c>
      <c r="E257" s="78"/>
      <c r="F257" s="78"/>
      <c r="G257" s="78"/>
      <c r="H257" s="280"/>
      <c r="I257" s="78" t="s">
        <v>1000</v>
      </c>
      <c r="J257" s="209" t="s">
        <v>1001</v>
      </c>
      <c r="K257" s="78" t="s">
        <v>1000</v>
      </c>
      <c r="L257" s="78"/>
      <c r="M257" s="66" t="s">
        <v>1002</v>
      </c>
      <c r="N257" s="32"/>
      <c r="O257" s="71">
        <v>34122</v>
      </c>
      <c r="P257" s="71"/>
      <c r="Q257" s="66"/>
      <c r="R257" s="66"/>
      <c r="S257" s="66"/>
      <c r="T257" s="66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32"/>
      <c r="AG257" s="32"/>
    </row>
    <row r="258" spans="1:33">
      <c r="B258" s="66">
        <v>3</v>
      </c>
      <c r="C258" s="78"/>
      <c r="D258" s="78" t="s">
        <v>1003</v>
      </c>
      <c r="E258" s="78"/>
      <c r="F258" s="78"/>
      <c r="G258" s="78"/>
      <c r="H258" s="280"/>
      <c r="I258" s="78" t="s">
        <v>1000</v>
      </c>
      <c r="J258" s="209" t="s">
        <v>1004</v>
      </c>
      <c r="K258" s="78" t="s">
        <v>1000</v>
      </c>
      <c r="L258" s="78"/>
      <c r="M258" s="66" t="s">
        <v>1005</v>
      </c>
      <c r="N258" s="32"/>
      <c r="O258" s="71">
        <v>28356</v>
      </c>
      <c r="P258" s="71"/>
      <c r="Q258" s="66"/>
      <c r="R258" s="66"/>
      <c r="S258" s="66"/>
      <c r="T258" s="66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32"/>
      <c r="AG258" s="32"/>
    </row>
    <row r="259" spans="1:33">
      <c r="B259" s="66">
        <v>4</v>
      </c>
      <c r="C259" s="78"/>
      <c r="D259" s="78" t="s">
        <v>1006</v>
      </c>
      <c r="E259" s="78"/>
      <c r="F259" s="78"/>
      <c r="G259" s="78"/>
      <c r="H259" s="280"/>
      <c r="I259" s="78" t="s">
        <v>1000</v>
      </c>
      <c r="J259" s="209" t="s">
        <v>1004</v>
      </c>
      <c r="K259" s="78" t="s">
        <v>1000</v>
      </c>
      <c r="L259" s="78"/>
      <c r="M259" s="66" t="s">
        <v>1007</v>
      </c>
      <c r="N259" s="32"/>
      <c r="O259" s="71">
        <v>30976</v>
      </c>
      <c r="P259" s="71"/>
      <c r="Q259" s="66"/>
      <c r="R259" s="66"/>
      <c r="S259" s="66"/>
      <c r="T259" s="66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32"/>
      <c r="AG259" s="32"/>
    </row>
    <row r="260" spans="1:33">
      <c r="B260" s="111"/>
      <c r="C260" s="32"/>
      <c r="D260" s="32"/>
      <c r="E260" s="32"/>
      <c r="F260" s="32"/>
      <c r="G260" s="32"/>
      <c r="H260" s="196"/>
      <c r="I260" s="32"/>
      <c r="J260" s="32"/>
      <c r="K260" s="32"/>
      <c r="L260" s="32"/>
      <c r="M260" s="190"/>
      <c r="N260" s="32"/>
      <c r="O260" s="32"/>
      <c r="P260" s="17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</row>
    <row r="261" spans="1:33">
      <c r="B261" s="111"/>
      <c r="C261" s="28" t="s">
        <v>1008</v>
      </c>
      <c r="D261" s="32"/>
      <c r="E261" s="32"/>
      <c r="F261" s="32"/>
      <c r="G261" s="32"/>
      <c r="H261" s="196"/>
      <c r="I261" s="32"/>
      <c r="J261" s="32"/>
      <c r="K261" s="32"/>
      <c r="L261" s="32"/>
      <c r="M261" s="190"/>
      <c r="N261" s="32"/>
      <c r="O261" s="32"/>
      <c r="P261" s="17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</row>
    <row r="262" spans="1:33">
      <c r="B262" s="111"/>
      <c r="C262" s="32"/>
      <c r="D262" s="32"/>
      <c r="E262" s="32"/>
      <c r="F262" s="32"/>
      <c r="G262" s="32"/>
      <c r="H262" s="196"/>
      <c r="I262" s="32"/>
      <c r="J262" s="32"/>
      <c r="K262" s="32"/>
      <c r="L262" s="32"/>
      <c r="M262" s="190"/>
      <c r="N262" s="32"/>
      <c r="O262" s="32"/>
      <c r="P262" s="17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</row>
    <row r="263" spans="1:33">
      <c r="A263" s="24">
        <v>1</v>
      </c>
      <c r="B263" s="66">
        <v>5</v>
      </c>
      <c r="C263" s="210" t="s">
        <v>1009</v>
      </c>
      <c r="D263" s="78" t="s">
        <v>1010</v>
      </c>
      <c r="E263" s="78"/>
      <c r="F263" s="78"/>
      <c r="G263" s="78"/>
      <c r="H263" s="280"/>
      <c r="I263" s="78" t="s">
        <v>296</v>
      </c>
      <c r="J263" s="78"/>
      <c r="K263" s="78" t="s">
        <v>296</v>
      </c>
      <c r="L263" s="209" t="s">
        <v>233</v>
      </c>
      <c r="M263" s="66" t="s">
        <v>1011</v>
      </c>
      <c r="N263" s="32"/>
      <c r="O263" s="71">
        <v>51135</v>
      </c>
      <c r="P263" s="71"/>
      <c r="Q263" s="66"/>
      <c r="R263" s="66"/>
      <c r="S263" s="66"/>
      <c r="T263" s="66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32"/>
      <c r="AG263" s="32"/>
    </row>
    <row r="264" spans="1:33">
      <c r="A264" s="24">
        <f>A263+1</f>
        <v>2</v>
      </c>
      <c r="B264" s="66">
        <v>6</v>
      </c>
      <c r="C264" s="210" t="s">
        <v>1012</v>
      </c>
      <c r="D264" s="78" t="s">
        <v>1013</v>
      </c>
      <c r="E264" s="78"/>
      <c r="F264" s="78"/>
      <c r="G264" s="78"/>
      <c r="H264" s="280"/>
      <c r="I264" s="78" t="s">
        <v>296</v>
      </c>
      <c r="J264" s="78"/>
      <c r="K264" s="78" t="s">
        <v>296</v>
      </c>
      <c r="L264" s="209" t="s">
        <v>233</v>
      </c>
      <c r="M264" s="66" t="s">
        <v>1014</v>
      </c>
      <c r="N264" s="32"/>
      <c r="O264" s="71">
        <v>51259</v>
      </c>
      <c r="P264" s="71"/>
      <c r="Q264" s="66"/>
      <c r="R264" s="66"/>
      <c r="S264" s="66"/>
      <c r="T264" s="66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32"/>
      <c r="AG264" s="32"/>
    </row>
    <row r="265" spans="1:33">
      <c r="B265" s="211"/>
      <c r="C265" s="32"/>
      <c r="D265" s="32" t="s">
        <v>1015</v>
      </c>
      <c r="E265" s="32"/>
      <c r="F265" s="32"/>
      <c r="G265" s="32"/>
      <c r="H265" s="196"/>
      <c r="I265" s="36"/>
      <c r="J265" s="32"/>
      <c r="K265" s="36"/>
      <c r="L265" s="212"/>
      <c r="M265" s="213"/>
      <c r="N265" s="32"/>
      <c r="O265" s="214"/>
      <c r="P265" s="172"/>
      <c r="Q265" s="213"/>
      <c r="R265" s="56"/>
      <c r="S265" s="56"/>
      <c r="T265" s="56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</row>
    <row r="266" spans="1:33">
      <c r="B266" s="211"/>
      <c r="C266" s="32"/>
      <c r="D266" s="32"/>
      <c r="E266" s="32"/>
      <c r="F266" s="32"/>
      <c r="G266" s="32"/>
      <c r="H266" s="196"/>
      <c r="I266" s="36"/>
      <c r="J266" s="32"/>
      <c r="K266" s="36"/>
      <c r="L266" s="212"/>
      <c r="M266" s="213"/>
      <c r="N266" s="32"/>
      <c r="O266" s="214"/>
      <c r="P266" s="172"/>
      <c r="Q266" s="213"/>
      <c r="R266" s="56"/>
      <c r="S266" s="56"/>
      <c r="T266" s="56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</row>
    <row r="267" spans="1:33">
      <c r="B267" s="66">
        <v>7</v>
      </c>
      <c r="C267" s="210" t="s">
        <v>1016</v>
      </c>
      <c r="D267" s="78" t="s">
        <v>1017</v>
      </c>
      <c r="E267" s="78"/>
      <c r="F267" s="78"/>
      <c r="G267" s="78">
        <v>1997</v>
      </c>
      <c r="H267" s="280"/>
      <c r="I267" s="78" t="s">
        <v>1000</v>
      </c>
      <c r="J267" s="78"/>
      <c r="K267" s="78" t="s">
        <v>1000</v>
      </c>
      <c r="L267" s="209" t="s">
        <v>380</v>
      </c>
      <c r="M267" s="66" t="s">
        <v>1018</v>
      </c>
      <c r="N267" s="32"/>
      <c r="O267" s="71">
        <v>116030</v>
      </c>
      <c r="P267" s="71"/>
      <c r="Q267" s="66"/>
      <c r="R267" s="66"/>
      <c r="S267" s="66"/>
      <c r="T267" s="66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32"/>
      <c r="AG267" s="32"/>
    </row>
    <row r="268" spans="1:33">
      <c r="A268" s="24">
        <v>24</v>
      </c>
      <c r="B268" s="66">
        <v>8</v>
      </c>
      <c r="C268" s="215" t="s">
        <v>1019</v>
      </c>
      <c r="D268" s="78" t="s">
        <v>1020</v>
      </c>
      <c r="E268" s="78"/>
      <c r="F268" s="78">
        <v>453</v>
      </c>
      <c r="G268" s="78">
        <v>1997</v>
      </c>
      <c r="H268" s="280"/>
      <c r="I268" s="78" t="s">
        <v>759</v>
      </c>
      <c r="J268" s="78"/>
      <c r="K268" s="78" t="s">
        <v>759</v>
      </c>
      <c r="L268" s="209" t="s">
        <v>380</v>
      </c>
      <c r="M268" s="66" t="s">
        <v>1021</v>
      </c>
      <c r="N268" s="32"/>
      <c r="O268" s="71">
        <v>65965</v>
      </c>
      <c r="P268" s="71"/>
      <c r="Q268" s="66"/>
      <c r="R268" s="66"/>
      <c r="S268" s="66" t="s">
        <v>1022</v>
      </c>
      <c r="T268" s="66" t="s">
        <v>1023</v>
      </c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32"/>
      <c r="AG268" s="32"/>
    </row>
    <row r="269" spans="1:33">
      <c r="A269" s="24">
        <f>A268+1</f>
        <v>25</v>
      </c>
      <c r="B269" s="66">
        <v>9</v>
      </c>
      <c r="C269" s="215" t="s">
        <v>1024</v>
      </c>
      <c r="D269" s="78" t="s">
        <v>1025</v>
      </c>
      <c r="E269" s="78"/>
      <c r="F269" s="78">
        <v>374</v>
      </c>
      <c r="G269" s="78">
        <v>1997</v>
      </c>
      <c r="H269" s="280"/>
      <c r="I269" s="78" t="s">
        <v>1000</v>
      </c>
      <c r="J269" s="78"/>
      <c r="K269" s="78" t="s">
        <v>1000</v>
      </c>
      <c r="L269" s="209" t="s">
        <v>259</v>
      </c>
      <c r="M269" s="66" t="s">
        <v>1026</v>
      </c>
      <c r="N269" s="32"/>
      <c r="O269" s="71">
        <v>378198</v>
      </c>
      <c r="P269" s="71"/>
      <c r="Q269" s="66"/>
      <c r="R269" s="66"/>
      <c r="S269" s="66" t="s">
        <v>1027</v>
      </c>
      <c r="T269" s="66" t="s">
        <v>1028</v>
      </c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32"/>
      <c r="AG269" s="32"/>
    </row>
    <row r="270" spans="1:33">
      <c r="B270" s="66">
        <v>10</v>
      </c>
      <c r="C270" s="210" t="s">
        <v>1029</v>
      </c>
      <c r="D270" s="78" t="s">
        <v>1030</v>
      </c>
      <c r="E270" s="78"/>
      <c r="F270" s="78">
        <f>B588+1</f>
        <v>131</v>
      </c>
      <c r="G270" s="78">
        <v>1997</v>
      </c>
      <c r="H270" s="280"/>
      <c r="I270" s="78" t="s">
        <v>296</v>
      </c>
      <c r="J270" s="78"/>
      <c r="K270" s="78" t="s">
        <v>296</v>
      </c>
      <c r="L270" s="209" t="s">
        <v>380</v>
      </c>
      <c r="M270" s="66" t="s">
        <v>1031</v>
      </c>
      <c r="N270" s="32"/>
      <c r="O270" s="71">
        <v>67809</v>
      </c>
      <c r="P270" s="71"/>
      <c r="Q270" s="66"/>
      <c r="R270" s="66"/>
      <c r="S270" s="66"/>
      <c r="T270" s="66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32"/>
      <c r="AG270" s="32"/>
    </row>
    <row r="271" spans="1:33">
      <c r="B271" s="56"/>
      <c r="C271" s="36"/>
      <c r="D271" s="36"/>
      <c r="E271" s="36"/>
      <c r="F271" s="36"/>
      <c r="G271" s="36"/>
      <c r="H271" s="194"/>
      <c r="I271" s="36"/>
      <c r="J271" s="36"/>
      <c r="K271" s="36"/>
      <c r="L271" s="36"/>
      <c r="M271" s="109"/>
      <c r="N271" s="32"/>
      <c r="O271" s="56"/>
      <c r="P271" s="60"/>
      <c r="Q271" s="56"/>
      <c r="R271" s="56"/>
      <c r="S271" s="56"/>
      <c r="T271" s="56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</row>
    <row r="272" spans="1:33">
      <c r="B272" s="56"/>
      <c r="C272" s="36"/>
      <c r="D272" s="36"/>
      <c r="E272" s="36"/>
      <c r="F272" s="36"/>
      <c r="G272" s="36"/>
      <c r="H272" s="194"/>
      <c r="I272" s="36"/>
      <c r="J272" s="36"/>
      <c r="K272" s="36"/>
      <c r="L272" s="36"/>
      <c r="M272" s="109"/>
      <c r="N272" s="32"/>
      <c r="O272" s="56"/>
      <c r="P272" s="60"/>
      <c r="Q272" s="56"/>
      <c r="R272" s="56"/>
      <c r="S272" s="56"/>
      <c r="T272" s="56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</row>
    <row r="273" spans="1:33">
      <c r="B273" s="111"/>
      <c r="C273" s="32" t="s">
        <v>1032</v>
      </c>
      <c r="D273" s="32"/>
      <c r="E273" s="32"/>
      <c r="F273" s="32"/>
      <c r="G273" s="32"/>
      <c r="H273" s="196"/>
      <c r="I273" s="32"/>
      <c r="J273" s="32"/>
      <c r="K273" s="32"/>
      <c r="L273" s="32"/>
      <c r="M273" s="190"/>
      <c r="N273" s="32"/>
      <c r="O273" s="32"/>
      <c r="P273" s="17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</row>
    <row r="274" spans="1:33">
      <c r="B274" s="111"/>
      <c r="C274" s="32"/>
      <c r="D274" s="32"/>
      <c r="E274" s="32"/>
      <c r="F274" s="32"/>
      <c r="G274" s="32"/>
      <c r="H274" s="196"/>
      <c r="I274" s="32"/>
      <c r="J274" s="32"/>
      <c r="K274" s="32"/>
      <c r="L274" s="32"/>
      <c r="M274" s="190"/>
      <c r="N274" s="32"/>
      <c r="O274" s="32"/>
      <c r="P274" s="17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</row>
    <row r="275" spans="1:33" s="221" customFormat="1">
      <c r="A275" s="24">
        <v>1</v>
      </c>
      <c r="B275" s="216">
        <v>11</v>
      </c>
      <c r="C275" s="217" t="s">
        <v>1033</v>
      </c>
      <c r="D275" s="217" t="s">
        <v>1034</v>
      </c>
      <c r="E275" s="217"/>
      <c r="F275" s="216">
        <v>253</v>
      </c>
      <c r="G275" s="216" t="s">
        <v>1035</v>
      </c>
      <c r="H275" s="220"/>
      <c r="I275" s="216" t="s">
        <v>349</v>
      </c>
      <c r="J275" s="217"/>
      <c r="K275" s="216" t="s">
        <v>349</v>
      </c>
      <c r="L275" s="93" t="s">
        <v>259</v>
      </c>
      <c r="M275" s="216" t="s">
        <v>1036</v>
      </c>
      <c r="N275" s="218"/>
      <c r="O275" s="219">
        <v>96182</v>
      </c>
      <c r="P275" s="216" t="s">
        <v>1037</v>
      </c>
      <c r="Q275" s="217"/>
      <c r="R275" s="216"/>
      <c r="S275" s="216" t="s">
        <v>1038</v>
      </c>
      <c r="T275" s="220" t="s">
        <v>1039</v>
      </c>
      <c r="U275" s="216"/>
      <c r="V275" s="217"/>
      <c r="W275" s="217"/>
      <c r="X275" s="217"/>
      <c r="Y275" s="217"/>
      <c r="Z275" s="217"/>
      <c r="AA275" s="217"/>
      <c r="AB275" s="217"/>
      <c r="AC275" s="217"/>
      <c r="AD275" s="217"/>
      <c r="AE275" s="217"/>
      <c r="AF275" s="218"/>
      <c r="AG275" s="218"/>
    </row>
    <row r="276" spans="1:33">
      <c r="A276" s="24">
        <f t="shared" ref="A276:A281" si="18">A275+1</f>
        <v>2</v>
      </c>
      <c r="B276" s="66">
        <v>12</v>
      </c>
      <c r="C276" s="78" t="s">
        <v>1040</v>
      </c>
      <c r="D276" s="78" t="s">
        <v>1041</v>
      </c>
      <c r="E276" s="78"/>
      <c r="F276" s="66">
        <v>193</v>
      </c>
      <c r="G276" s="216" t="s">
        <v>1035</v>
      </c>
      <c r="H276" s="220"/>
      <c r="I276" s="66" t="s">
        <v>422</v>
      </c>
      <c r="J276" s="78"/>
      <c r="K276" s="66" t="s">
        <v>422</v>
      </c>
      <c r="L276" s="93" t="s">
        <v>380</v>
      </c>
      <c r="M276" s="66" t="s">
        <v>1042</v>
      </c>
      <c r="N276" s="32"/>
      <c r="O276" s="71">
        <v>104890</v>
      </c>
      <c r="P276" s="66" t="s">
        <v>1043</v>
      </c>
      <c r="Q276" s="78"/>
      <c r="R276" s="66"/>
      <c r="S276" s="66" t="s">
        <v>1044</v>
      </c>
      <c r="T276" s="66"/>
      <c r="U276" s="66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32"/>
      <c r="AG276" s="32"/>
    </row>
    <row r="277" spans="1:33">
      <c r="A277" s="24">
        <f t="shared" si="18"/>
        <v>3</v>
      </c>
      <c r="B277" s="66">
        <v>13</v>
      </c>
      <c r="C277" s="78" t="s">
        <v>1045</v>
      </c>
      <c r="D277" s="78" t="s">
        <v>1046</v>
      </c>
      <c r="E277" s="78"/>
      <c r="F277" s="66">
        <v>370</v>
      </c>
      <c r="G277" s="216" t="s">
        <v>1035</v>
      </c>
      <c r="H277" s="220"/>
      <c r="I277" s="66" t="s">
        <v>422</v>
      </c>
      <c r="J277" s="78"/>
      <c r="K277" s="66" t="s">
        <v>422</v>
      </c>
      <c r="L277" s="93" t="s">
        <v>380</v>
      </c>
      <c r="M277" s="66" t="s">
        <v>1047</v>
      </c>
      <c r="N277" s="32"/>
      <c r="O277" s="71">
        <v>58999</v>
      </c>
      <c r="P277" s="66" t="s">
        <v>1048</v>
      </c>
      <c r="Q277" s="78"/>
      <c r="R277" s="66"/>
      <c r="S277" s="66" t="s">
        <v>1049</v>
      </c>
      <c r="T277" s="66" t="s">
        <v>1050</v>
      </c>
      <c r="U277" s="66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32"/>
      <c r="AG277" s="32"/>
    </row>
    <row r="278" spans="1:33">
      <c r="A278" s="24">
        <f t="shared" si="18"/>
        <v>4</v>
      </c>
      <c r="B278" s="66">
        <v>14</v>
      </c>
      <c r="C278" s="78" t="s">
        <v>1051</v>
      </c>
      <c r="D278" s="78"/>
      <c r="E278" s="78"/>
      <c r="F278" s="66">
        <v>411</v>
      </c>
      <c r="G278" s="216" t="s">
        <v>1035</v>
      </c>
      <c r="H278" s="220"/>
      <c r="I278" s="66" t="s">
        <v>759</v>
      </c>
      <c r="J278" s="78"/>
      <c r="K278" s="66" t="s">
        <v>759</v>
      </c>
      <c r="L278" s="93" t="s">
        <v>380</v>
      </c>
      <c r="M278" s="66" t="s">
        <v>1052</v>
      </c>
      <c r="N278" s="32"/>
      <c r="O278" s="71">
        <v>75734</v>
      </c>
      <c r="P278" s="66" t="s">
        <v>1053</v>
      </c>
      <c r="Q278" s="78"/>
      <c r="R278" s="66"/>
      <c r="S278" s="66" t="s">
        <v>1054</v>
      </c>
      <c r="T278" s="66" t="s">
        <v>703</v>
      </c>
      <c r="U278" s="66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32"/>
      <c r="AG278" s="32"/>
    </row>
    <row r="279" spans="1:33">
      <c r="A279" s="24">
        <f t="shared" si="18"/>
        <v>5</v>
      </c>
      <c r="B279" s="66">
        <v>15</v>
      </c>
      <c r="C279" s="78" t="s">
        <v>1055</v>
      </c>
      <c r="D279" s="78" t="s">
        <v>1056</v>
      </c>
      <c r="E279" s="78"/>
      <c r="F279" s="66">
        <v>232</v>
      </c>
      <c r="G279" s="216" t="s">
        <v>1035</v>
      </c>
      <c r="H279" s="220"/>
      <c r="I279" s="66" t="s">
        <v>1057</v>
      </c>
      <c r="J279" s="78"/>
      <c r="K279" s="66" t="s">
        <v>1057</v>
      </c>
      <c r="L279" s="93" t="s">
        <v>259</v>
      </c>
      <c r="M279" s="66" t="s">
        <v>1058</v>
      </c>
      <c r="N279" s="32"/>
      <c r="O279" s="71">
        <v>79277</v>
      </c>
      <c r="P279" s="66"/>
      <c r="Q279" s="78"/>
      <c r="R279" s="66"/>
      <c r="S279" s="66" t="s">
        <v>1059</v>
      </c>
      <c r="T279" s="66"/>
      <c r="U279" s="66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32"/>
      <c r="AG279" s="32"/>
    </row>
    <row r="280" spans="1:33">
      <c r="A280" s="24">
        <f t="shared" si="18"/>
        <v>6</v>
      </c>
      <c r="B280" s="66">
        <v>16</v>
      </c>
      <c r="C280" s="78" t="s">
        <v>1060</v>
      </c>
      <c r="D280" s="78" t="s">
        <v>1061</v>
      </c>
      <c r="E280" s="78"/>
      <c r="F280" s="66">
        <v>321</v>
      </c>
      <c r="G280" s="216" t="s">
        <v>1035</v>
      </c>
      <c r="H280" s="220"/>
      <c r="I280" s="66" t="s">
        <v>453</v>
      </c>
      <c r="J280" s="78"/>
      <c r="K280" s="66" t="s">
        <v>453</v>
      </c>
      <c r="L280" s="93" t="s">
        <v>233</v>
      </c>
      <c r="M280" s="66" t="s">
        <v>1062</v>
      </c>
      <c r="N280" s="32"/>
      <c r="O280" s="71">
        <v>70360</v>
      </c>
      <c r="P280" s="66"/>
      <c r="Q280" s="78"/>
      <c r="R280" s="66"/>
      <c r="S280" s="66" t="s">
        <v>1063</v>
      </c>
      <c r="T280" s="66" t="s">
        <v>1064</v>
      </c>
      <c r="U280" s="66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32"/>
      <c r="AG280" s="32"/>
    </row>
    <row r="281" spans="1:33">
      <c r="A281" s="24">
        <f t="shared" si="18"/>
        <v>7</v>
      </c>
      <c r="B281" s="66">
        <v>17</v>
      </c>
      <c r="C281" s="78" t="s">
        <v>1065</v>
      </c>
      <c r="D281" s="78" t="s">
        <v>1066</v>
      </c>
      <c r="E281" s="78"/>
      <c r="F281" s="66">
        <v>85</v>
      </c>
      <c r="G281" s="216" t="s">
        <v>1035</v>
      </c>
      <c r="H281" s="220"/>
      <c r="I281" s="66" t="s">
        <v>1000</v>
      </c>
      <c r="J281" s="78"/>
      <c r="K281" s="66" t="s">
        <v>1000</v>
      </c>
      <c r="L281" s="93" t="s">
        <v>380</v>
      </c>
      <c r="M281" s="66" t="s">
        <v>1067</v>
      </c>
      <c r="N281" s="32"/>
      <c r="O281" s="71">
        <v>81921</v>
      </c>
      <c r="P281" s="66" t="s">
        <v>1068</v>
      </c>
      <c r="Q281" s="78"/>
      <c r="R281" s="66"/>
      <c r="S281" s="66"/>
      <c r="T281" s="66"/>
      <c r="U281" s="66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32"/>
      <c r="AG281" s="32"/>
    </row>
    <row r="282" spans="1:33">
      <c r="B282" s="111"/>
      <c r="C282" s="32"/>
      <c r="D282" s="32"/>
      <c r="E282" s="32"/>
      <c r="F282" s="32"/>
      <c r="G282" s="32"/>
      <c r="H282" s="196"/>
      <c r="I282" s="32"/>
      <c r="J282" s="32"/>
      <c r="K282" s="32"/>
      <c r="L282" s="32"/>
      <c r="M282" s="190"/>
      <c r="N282" s="32"/>
      <c r="O282" s="32"/>
      <c r="P282" s="17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</row>
    <row r="283" spans="1:33">
      <c r="B283" s="111"/>
      <c r="C283" s="32" t="s">
        <v>1069</v>
      </c>
      <c r="D283" s="32"/>
      <c r="E283" s="32"/>
      <c r="F283" s="32"/>
      <c r="G283" s="32"/>
      <c r="H283" s="196"/>
      <c r="I283" s="32"/>
      <c r="J283" s="32"/>
      <c r="K283" s="32"/>
      <c r="L283" s="32"/>
      <c r="M283" s="190"/>
      <c r="N283" s="32"/>
      <c r="O283" s="32"/>
      <c r="P283" s="17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</row>
    <row r="284" spans="1:33">
      <c r="A284" s="24">
        <v>8</v>
      </c>
      <c r="B284" s="66">
        <v>18</v>
      </c>
      <c r="C284" s="78" t="s">
        <v>1070</v>
      </c>
      <c r="D284" s="78" t="s">
        <v>1071</v>
      </c>
      <c r="E284" s="78"/>
      <c r="F284" s="66">
        <v>349</v>
      </c>
      <c r="G284" s="66" t="s">
        <v>1072</v>
      </c>
      <c r="H284" s="280"/>
      <c r="I284" s="66" t="s">
        <v>345</v>
      </c>
      <c r="J284" s="78"/>
      <c r="K284" s="66" t="s">
        <v>345</v>
      </c>
      <c r="L284" s="93" t="s">
        <v>380</v>
      </c>
      <c r="M284" s="66" t="s">
        <v>1073</v>
      </c>
      <c r="N284" s="32"/>
      <c r="O284" s="71">
        <v>123519</v>
      </c>
      <c r="P284" s="71"/>
      <c r="Q284" s="94"/>
      <c r="R284" s="94"/>
      <c r="S284" s="222" t="s">
        <v>1074</v>
      </c>
      <c r="T284" s="94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32"/>
      <c r="AG284" s="32"/>
    </row>
    <row r="285" spans="1:33">
      <c r="A285" s="24">
        <f>A284+1</f>
        <v>9</v>
      </c>
      <c r="B285" s="66">
        <v>19</v>
      </c>
      <c r="C285" s="78" t="s">
        <v>1075</v>
      </c>
      <c r="D285" s="78"/>
      <c r="E285" s="78"/>
      <c r="F285" s="66">
        <v>348</v>
      </c>
      <c r="G285" s="66" t="s">
        <v>1072</v>
      </c>
      <c r="H285" s="280"/>
      <c r="I285" s="66" t="s">
        <v>345</v>
      </c>
      <c r="J285" s="78"/>
      <c r="K285" s="66" t="s">
        <v>345</v>
      </c>
      <c r="L285" s="93" t="s">
        <v>380</v>
      </c>
      <c r="M285" s="78"/>
      <c r="N285" s="32"/>
      <c r="O285" s="78"/>
      <c r="P285" s="71"/>
      <c r="Q285" s="78"/>
      <c r="R285" s="78"/>
      <c r="S285" s="78" t="s">
        <v>1074</v>
      </c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32"/>
      <c r="AG285" s="32"/>
    </row>
    <row r="286" spans="1:33">
      <c r="B286" s="111"/>
      <c r="C286" s="36" t="s">
        <v>1076</v>
      </c>
      <c r="D286" s="36"/>
      <c r="E286" s="36"/>
      <c r="F286" s="36"/>
      <c r="G286" s="66"/>
      <c r="H286" s="194"/>
      <c r="I286" s="36"/>
      <c r="J286" s="36"/>
      <c r="K286" s="36"/>
      <c r="L286" s="36"/>
      <c r="M286" s="109"/>
      <c r="N286" s="32"/>
      <c r="O286" s="36"/>
      <c r="P286" s="60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</row>
    <row r="287" spans="1:33">
      <c r="B287" s="111"/>
      <c r="C287" s="36" t="s">
        <v>1077</v>
      </c>
      <c r="D287" s="36"/>
      <c r="E287" s="36"/>
      <c r="F287" s="36"/>
      <c r="G287" s="66"/>
      <c r="H287" s="194"/>
      <c r="I287" s="36"/>
      <c r="J287" s="36"/>
      <c r="K287" s="36"/>
      <c r="L287" s="36"/>
      <c r="M287" s="109"/>
      <c r="N287" s="32"/>
      <c r="O287" s="36"/>
      <c r="P287" s="17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</row>
    <row r="288" spans="1:33">
      <c r="A288" s="24">
        <v>10</v>
      </c>
      <c r="B288" s="66">
        <v>20</v>
      </c>
      <c r="C288" s="78" t="s">
        <v>1078</v>
      </c>
      <c r="D288" s="78" t="s">
        <v>1079</v>
      </c>
      <c r="E288" s="78"/>
      <c r="F288" s="78">
        <v>262</v>
      </c>
      <c r="G288" s="66" t="s">
        <v>1080</v>
      </c>
      <c r="H288" s="280"/>
      <c r="I288" s="78" t="s">
        <v>1000</v>
      </c>
      <c r="J288" s="78"/>
      <c r="K288" s="78" t="s">
        <v>1000</v>
      </c>
      <c r="L288" s="209" t="s">
        <v>245</v>
      </c>
      <c r="M288" s="66" t="s">
        <v>1081</v>
      </c>
      <c r="N288" s="32"/>
      <c r="O288" s="71">
        <v>3614087</v>
      </c>
      <c r="P288" s="71"/>
      <c r="Q288" s="66"/>
      <c r="R288" s="66"/>
      <c r="S288" s="66" t="s">
        <v>1082</v>
      </c>
      <c r="T288" s="66" t="s">
        <v>1083</v>
      </c>
      <c r="U288" s="78">
        <v>96080200</v>
      </c>
      <c r="V288" s="78" t="s">
        <v>1084</v>
      </c>
      <c r="W288" s="78">
        <v>3405217</v>
      </c>
      <c r="X288" s="78"/>
      <c r="Y288" s="78"/>
      <c r="Z288" s="78"/>
      <c r="AA288" s="78"/>
      <c r="AB288" s="78"/>
      <c r="AC288" s="78"/>
      <c r="AD288" s="78"/>
      <c r="AE288" s="78"/>
      <c r="AF288" s="32"/>
      <c r="AG288" s="32"/>
    </row>
    <row r="289" spans="1:33">
      <c r="B289" s="56"/>
      <c r="C289" s="36"/>
      <c r="D289" s="36"/>
      <c r="E289" s="36"/>
      <c r="F289" s="36"/>
      <c r="G289" s="66"/>
      <c r="H289" s="194"/>
      <c r="I289" s="36"/>
      <c r="J289" s="32"/>
      <c r="K289" s="36"/>
      <c r="L289" s="109"/>
      <c r="M289" s="56"/>
      <c r="N289" s="32"/>
      <c r="O289" s="60">
        <f>+O288</f>
        <v>3614087</v>
      </c>
      <c r="P289" s="172"/>
      <c r="Q289" s="56"/>
      <c r="R289" s="56"/>
      <c r="S289" s="56"/>
      <c r="T289" s="5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2"/>
      <c r="AG289" s="32"/>
    </row>
    <row r="290" spans="1:33">
      <c r="B290" s="111"/>
      <c r="C290" s="36" t="s">
        <v>1085</v>
      </c>
      <c r="D290" s="36"/>
      <c r="E290" s="36"/>
      <c r="F290" s="36"/>
      <c r="G290" s="66"/>
      <c r="H290" s="194"/>
      <c r="I290" s="36"/>
      <c r="J290" s="32"/>
      <c r="K290" s="36"/>
      <c r="L290" s="109"/>
      <c r="M290" s="36"/>
      <c r="N290" s="32"/>
      <c r="O290" s="172"/>
      <c r="P290" s="17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</row>
    <row r="291" spans="1:33">
      <c r="A291" s="24">
        <v>11</v>
      </c>
      <c r="B291" s="66">
        <v>21</v>
      </c>
      <c r="C291" s="223"/>
      <c r="D291" s="78" t="s">
        <v>1086</v>
      </c>
      <c r="E291" s="78"/>
      <c r="F291" s="223">
        <v>92</v>
      </c>
      <c r="G291" s="66" t="s">
        <v>1087</v>
      </c>
      <c r="H291" s="280"/>
      <c r="I291" s="78" t="s">
        <v>333</v>
      </c>
      <c r="J291" s="78"/>
      <c r="K291" s="78" t="s">
        <v>333</v>
      </c>
      <c r="L291" s="209" t="s">
        <v>259</v>
      </c>
      <c r="M291" s="66" t="s">
        <v>1088</v>
      </c>
      <c r="N291" s="32"/>
      <c r="O291" s="71">
        <v>75771</v>
      </c>
      <c r="P291" s="71"/>
      <c r="Q291" s="66"/>
      <c r="R291" s="66"/>
      <c r="S291" s="66"/>
      <c r="T291" s="66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32"/>
      <c r="AG291" s="32"/>
    </row>
    <row r="292" spans="1:33">
      <c r="A292" s="24">
        <f>A291+1</f>
        <v>12</v>
      </c>
      <c r="B292" s="66">
        <v>22</v>
      </c>
      <c r="C292" s="78" t="s">
        <v>1089</v>
      </c>
      <c r="D292" s="78" t="s">
        <v>1090</v>
      </c>
      <c r="E292" s="78"/>
      <c r="F292" s="78">
        <v>313</v>
      </c>
      <c r="G292" s="66" t="s">
        <v>1087</v>
      </c>
      <c r="H292" s="280"/>
      <c r="I292" s="78" t="s">
        <v>333</v>
      </c>
      <c r="J292" s="78"/>
      <c r="K292" s="78" t="s">
        <v>333</v>
      </c>
      <c r="L292" s="209" t="s">
        <v>233</v>
      </c>
      <c r="M292" s="66" t="s">
        <v>1091</v>
      </c>
      <c r="N292" s="32"/>
      <c r="O292" s="71">
        <v>57699</v>
      </c>
      <c r="P292" s="71"/>
      <c r="Q292" s="66"/>
      <c r="R292" s="66"/>
      <c r="S292" s="66" t="s">
        <v>1092</v>
      </c>
      <c r="T292" s="66" t="s">
        <v>1093</v>
      </c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32"/>
      <c r="AG292" s="32"/>
    </row>
    <row r="293" spans="1:33">
      <c r="A293" s="24">
        <f>A292+1</f>
        <v>13</v>
      </c>
      <c r="B293" s="66">
        <v>23</v>
      </c>
      <c r="C293" s="78" t="s">
        <v>1094</v>
      </c>
      <c r="D293" s="78" t="s">
        <v>1095</v>
      </c>
      <c r="E293" s="78"/>
      <c r="F293" s="78">
        <v>378</v>
      </c>
      <c r="G293" s="66" t="s">
        <v>1087</v>
      </c>
      <c r="H293" s="280"/>
      <c r="I293" s="78" t="s">
        <v>333</v>
      </c>
      <c r="J293" s="78"/>
      <c r="K293" s="78" t="s">
        <v>333</v>
      </c>
      <c r="L293" s="209" t="s">
        <v>1096</v>
      </c>
      <c r="M293" s="66" t="s">
        <v>1097</v>
      </c>
      <c r="N293" s="32"/>
      <c r="O293" s="71">
        <v>93464</v>
      </c>
      <c r="P293" s="71"/>
      <c r="Q293" s="66"/>
      <c r="R293" s="66"/>
      <c r="S293" s="66"/>
      <c r="T293" s="66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32"/>
      <c r="AG293" s="32"/>
    </row>
    <row r="294" spans="1:33">
      <c r="A294" s="24">
        <f>A293+1</f>
        <v>14</v>
      </c>
      <c r="B294" s="66">
        <v>24</v>
      </c>
      <c r="C294" s="78" t="s">
        <v>1098</v>
      </c>
      <c r="D294" s="78" t="s">
        <v>1099</v>
      </c>
      <c r="E294" s="78"/>
      <c r="F294" s="78">
        <v>117</v>
      </c>
      <c r="G294" s="66" t="s">
        <v>1087</v>
      </c>
      <c r="H294" s="280"/>
      <c r="I294" s="78" t="s">
        <v>1000</v>
      </c>
      <c r="J294" s="78"/>
      <c r="K294" s="78" t="s">
        <v>1000</v>
      </c>
      <c r="L294" s="209" t="s">
        <v>259</v>
      </c>
      <c r="M294" s="66" t="s">
        <v>1100</v>
      </c>
      <c r="N294" s="32"/>
      <c r="O294" s="71">
        <v>82492</v>
      </c>
      <c r="P294" s="172"/>
      <c r="Q294" s="66"/>
      <c r="R294" s="66"/>
      <c r="S294" s="66"/>
      <c r="T294" s="66"/>
      <c r="U294" s="78">
        <v>37000</v>
      </c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32"/>
      <c r="AG294" s="32"/>
    </row>
    <row r="295" spans="1:33">
      <c r="A295" s="24">
        <f>A294+1</f>
        <v>15</v>
      </c>
      <c r="B295" s="66">
        <v>25</v>
      </c>
      <c r="C295" s="78" t="s">
        <v>1101</v>
      </c>
      <c r="D295" s="78" t="s">
        <v>1102</v>
      </c>
      <c r="E295" s="78"/>
      <c r="F295" s="78">
        <v>220</v>
      </c>
      <c r="G295" s="66" t="s">
        <v>1087</v>
      </c>
      <c r="H295" s="280"/>
      <c r="I295" s="78" t="s">
        <v>1000</v>
      </c>
      <c r="J295" s="78"/>
      <c r="K295" s="78" t="s">
        <v>1000</v>
      </c>
      <c r="L295" s="209" t="s">
        <v>259</v>
      </c>
      <c r="M295" s="66" t="s">
        <v>1103</v>
      </c>
      <c r="N295" s="32"/>
      <c r="O295" s="71">
        <v>61326</v>
      </c>
      <c r="P295" s="172"/>
      <c r="Q295" s="66"/>
      <c r="R295" s="66"/>
      <c r="S295" s="66" t="s">
        <v>1104</v>
      </c>
      <c r="T295" s="66" t="s">
        <v>1105</v>
      </c>
      <c r="U295" s="78"/>
      <c r="V295" s="143" t="s">
        <v>618</v>
      </c>
      <c r="W295" s="78"/>
      <c r="X295" s="78"/>
      <c r="Y295" s="78"/>
      <c r="Z295" s="78"/>
      <c r="AA295" s="78"/>
      <c r="AB295" s="78"/>
      <c r="AC295" s="78"/>
      <c r="AD295" s="78"/>
      <c r="AE295" s="78"/>
      <c r="AF295" s="32"/>
      <c r="AG295" s="32"/>
    </row>
    <row r="296" spans="1:33">
      <c r="B296" s="56"/>
      <c r="C296" s="36"/>
      <c r="D296" s="36"/>
      <c r="E296" s="36"/>
      <c r="F296" s="36"/>
      <c r="G296" s="66"/>
      <c r="H296" s="194"/>
      <c r="I296" s="36"/>
      <c r="J296" s="36"/>
      <c r="K296" s="36"/>
      <c r="L296" s="36"/>
      <c r="M296" s="109"/>
      <c r="N296" s="32"/>
      <c r="O296" s="56"/>
      <c r="P296" s="60"/>
      <c r="Q296" s="56"/>
      <c r="R296" s="56"/>
      <c r="S296" s="56"/>
      <c r="T296" s="56"/>
      <c r="U296" s="36"/>
      <c r="V296" s="224"/>
      <c r="W296" s="36"/>
      <c r="X296" s="36"/>
      <c r="Y296" s="36"/>
      <c r="Z296" s="36"/>
      <c r="AA296" s="36"/>
      <c r="AB296" s="36"/>
      <c r="AC296" s="36"/>
      <c r="AD296" s="36"/>
      <c r="AE296" s="36"/>
      <c r="AF296" s="32"/>
      <c r="AG296" s="32"/>
    </row>
    <row r="297" spans="1:33">
      <c r="B297" s="56"/>
      <c r="C297" s="36" t="s">
        <v>1106</v>
      </c>
      <c r="D297" s="32"/>
      <c r="E297" s="36"/>
      <c r="F297" s="36"/>
      <c r="G297" s="66"/>
      <c r="H297" s="194"/>
      <c r="I297" s="36"/>
      <c r="J297" s="36"/>
      <c r="K297" s="36"/>
      <c r="L297" s="36"/>
      <c r="M297" s="109"/>
      <c r="N297" s="32"/>
      <c r="O297" s="56"/>
      <c r="P297" s="60"/>
      <c r="Q297" s="56"/>
      <c r="R297" s="56"/>
      <c r="S297" s="56"/>
      <c r="T297" s="56"/>
      <c r="U297" s="36"/>
      <c r="V297" s="224"/>
      <c r="W297" s="36"/>
      <c r="X297" s="36"/>
      <c r="Y297" s="36"/>
      <c r="Z297" s="36"/>
      <c r="AA297" s="36"/>
      <c r="AB297" s="36"/>
      <c r="AC297" s="36"/>
      <c r="AD297" s="36"/>
      <c r="AE297" s="36"/>
      <c r="AF297" s="32"/>
      <c r="AG297" s="32"/>
    </row>
    <row r="298" spans="1:33">
      <c r="A298" s="24">
        <v>16</v>
      </c>
      <c r="B298" s="66">
        <v>26</v>
      </c>
      <c r="C298" s="78" t="s">
        <v>1107</v>
      </c>
      <c r="D298" s="78"/>
      <c r="E298" s="78"/>
      <c r="F298" s="78">
        <v>145</v>
      </c>
      <c r="G298" s="209" t="s">
        <v>1108</v>
      </c>
      <c r="H298" s="292"/>
      <c r="I298" s="78"/>
      <c r="J298" s="78"/>
      <c r="K298" s="78"/>
      <c r="L298" s="78"/>
      <c r="M298" s="209" t="s">
        <v>1109</v>
      </c>
      <c r="N298" s="32"/>
      <c r="O298" s="66"/>
      <c r="P298" s="60"/>
      <c r="Q298" s="56"/>
      <c r="R298" s="56"/>
      <c r="S298" s="56"/>
      <c r="T298" s="56"/>
      <c r="U298" s="36"/>
      <c r="V298" s="224"/>
      <c r="W298" s="36"/>
      <c r="X298" s="36"/>
      <c r="Y298" s="36"/>
      <c r="Z298" s="36"/>
      <c r="AA298" s="36"/>
      <c r="AB298" s="36"/>
      <c r="AC298" s="36"/>
      <c r="AD298" s="36"/>
      <c r="AE298" s="36"/>
      <c r="AF298" s="32"/>
      <c r="AG298" s="32"/>
    </row>
    <row r="299" spans="1:33">
      <c r="A299" s="24">
        <f t="shared" ref="A299:A305" si="19">A298+1</f>
        <v>17</v>
      </c>
      <c r="B299" s="66">
        <v>27</v>
      </c>
      <c r="C299" s="78" t="s">
        <v>1110</v>
      </c>
      <c r="D299" s="78"/>
      <c r="E299" s="78"/>
      <c r="F299" s="78"/>
      <c r="G299" s="209" t="s">
        <v>1111</v>
      </c>
      <c r="H299" s="292"/>
      <c r="I299" s="78"/>
      <c r="J299" s="78"/>
      <c r="K299" s="78"/>
      <c r="L299" s="78"/>
      <c r="M299" s="209" t="s">
        <v>1112</v>
      </c>
      <c r="N299" s="32"/>
      <c r="O299" s="66">
        <v>1472000</v>
      </c>
      <c r="P299" s="60"/>
      <c r="Q299" s="56"/>
      <c r="R299" s="56"/>
      <c r="S299" s="56"/>
      <c r="T299" s="56"/>
      <c r="U299" s="36"/>
      <c r="V299" s="224"/>
      <c r="W299" s="36"/>
      <c r="X299" s="36"/>
      <c r="Y299" s="36"/>
      <c r="Z299" s="36"/>
      <c r="AA299" s="36"/>
      <c r="AB299" s="36"/>
      <c r="AC299" s="36"/>
      <c r="AD299" s="36"/>
      <c r="AE299" s="36"/>
      <c r="AF299" s="32"/>
      <c r="AG299" s="32"/>
    </row>
    <row r="300" spans="1:33">
      <c r="A300" s="24">
        <f t="shared" si="19"/>
        <v>18</v>
      </c>
      <c r="B300" s="66">
        <v>28</v>
      </c>
      <c r="C300" s="78" t="s">
        <v>1113</v>
      </c>
      <c r="D300" s="78"/>
      <c r="E300" s="78"/>
      <c r="F300" s="78">
        <v>140</v>
      </c>
      <c r="G300" s="209" t="s">
        <v>1114</v>
      </c>
      <c r="H300" s="292"/>
      <c r="I300" s="78"/>
      <c r="J300" s="78"/>
      <c r="K300" s="78"/>
      <c r="L300" s="78"/>
      <c r="M300" s="209" t="s">
        <v>1115</v>
      </c>
      <c r="N300" s="32"/>
      <c r="O300" s="66"/>
      <c r="P300" s="60"/>
      <c r="Q300" s="56"/>
      <c r="R300" s="56"/>
      <c r="S300" s="56"/>
      <c r="T300" s="56"/>
      <c r="U300" s="36"/>
      <c r="V300" s="224"/>
      <c r="W300" s="36"/>
      <c r="X300" s="36"/>
      <c r="Y300" s="36"/>
      <c r="Z300" s="36"/>
      <c r="AA300" s="36"/>
      <c r="AB300" s="36"/>
      <c r="AC300" s="36"/>
      <c r="AD300" s="36"/>
      <c r="AE300" s="36"/>
      <c r="AF300" s="32"/>
      <c r="AG300" s="32"/>
    </row>
    <row r="301" spans="1:33">
      <c r="A301" s="24">
        <f t="shared" si="19"/>
        <v>19</v>
      </c>
      <c r="B301" s="66">
        <v>29</v>
      </c>
      <c r="C301" s="78" t="s">
        <v>1116</v>
      </c>
      <c r="D301" s="78"/>
      <c r="E301" s="78"/>
      <c r="F301" s="78">
        <v>303</v>
      </c>
      <c r="G301" s="209" t="s">
        <v>1114</v>
      </c>
      <c r="H301" s="292"/>
      <c r="I301" s="78"/>
      <c r="J301" s="78"/>
      <c r="K301" s="78"/>
      <c r="L301" s="78"/>
      <c r="M301" s="209" t="s">
        <v>1115</v>
      </c>
      <c r="N301" s="32"/>
      <c r="O301" s="66"/>
      <c r="P301" s="60"/>
      <c r="Q301" s="56"/>
      <c r="R301" s="56"/>
      <c r="S301" s="56"/>
      <c r="T301" s="56"/>
      <c r="U301" s="36"/>
      <c r="V301" s="224"/>
      <c r="W301" s="36"/>
      <c r="X301" s="36"/>
      <c r="Y301" s="36"/>
      <c r="Z301" s="36"/>
      <c r="AA301" s="36"/>
      <c r="AB301" s="36"/>
      <c r="AC301" s="36"/>
      <c r="AD301" s="36"/>
      <c r="AE301" s="36"/>
      <c r="AF301" s="32"/>
      <c r="AG301" s="32"/>
    </row>
    <row r="302" spans="1:33">
      <c r="A302" s="24">
        <f t="shared" si="19"/>
        <v>20</v>
      </c>
      <c r="B302" s="66">
        <v>30</v>
      </c>
      <c r="C302" s="78" t="s">
        <v>1117</v>
      </c>
      <c r="D302" s="78"/>
      <c r="E302" s="78"/>
      <c r="F302" s="78">
        <v>233</v>
      </c>
      <c r="G302" s="209" t="s">
        <v>1114</v>
      </c>
      <c r="H302" s="292"/>
      <c r="I302" s="78"/>
      <c r="J302" s="78"/>
      <c r="K302" s="78"/>
      <c r="L302" s="78"/>
      <c r="M302" s="209" t="s">
        <v>1115</v>
      </c>
      <c r="N302" s="32"/>
      <c r="O302" s="66"/>
      <c r="P302" s="60"/>
      <c r="Q302" s="56"/>
      <c r="R302" s="56"/>
      <c r="S302" s="56"/>
      <c r="T302" s="56"/>
      <c r="U302" s="36"/>
      <c r="V302" s="224"/>
      <c r="W302" s="36"/>
      <c r="X302" s="36"/>
      <c r="Y302" s="36"/>
      <c r="Z302" s="36"/>
      <c r="AA302" s="36"/>
      <c r="AB302" s="36"/>
      <c r="AC302" s="36"/>
      <c r="AD302" s="36"/>
      <c r="AE302" s="36"/>
      <c r="AF302" s="32"/>
      <c r="AG302" s="32"/>
    </row>
    <row r="303" spans="1:33">
      <c r="A303" s="24">
        <f t="shared" si="19"/>
        <v>21</v>
      </c>
      <c r="B303" s="66">
        <v>31</v>
      </c>
      <c r="C303" s="78" t="s">
        <v>1118</v>
      </c>
      <c r="D303" s="78"/>
      <c r="E303" s="78"/>
      <c r="F303" s="78">
        <v>392</v>
      </c>
      <c r="G303" s="209" t="s">
        <v>1114</v>
      </c>
      <c r="H303" s="292"/>
      <c r="I303" s="78"/>
      <c r="J303" s="78"/>
      <c r="K303" s="78"/>
      <c r="L303" s="78"/>
      <c r="M303" s="209" t="s">
        <v>1115</v>
      </c>
      <c r="N303" s="32"/>
      <c r="O303" s="66"/>
      <c r="P303" s="60"/>
      <c r="Q303" s="56"/>
      <c r="R303" s="56"/>
      <c r="S303" s="56"/>
      <c r="T303" s="56"/>
      <c r="U303" s="36"/>
      <c r="V303" s="224"/>
      <c r="W303" s="36"/>
      <c r="X303" s="36"/>
      <c r="Y303" s="36"/>
      <c r="Z303" s="36"/>
      <c r="AA303" s="36"/>
      <c r="AB303" s="36"/>
      <c r="AC303" s="36"/>
      <c r="AD303" s="36"/>
      <c r="AE303" s="36"/>
      <c r="AF303" s="32"/>
      <c r="AG303" s="32"/>
    </row>
    <row r="304" spans="1:33">
      <c r="A304" s="24">
        <f t="shared" si="19"/>
        <v>22</v>
      </c>
      <c r="B304" s="66">
        <v>32</v>
      </c>
      <c r="C304" s="78" t="s">
        <v>1119</v>
      </c>
      <c r="D304" s="78"/>
      <c r="E304" s="78"/>
      <c r="F304" s="78">
        <v>74</v>
      </c>
      <c r="G304" s="209" t="s">
        <v>1114</v>
      </c>
      <c r="H304" s="292"/>
      <c r="I304" s="78"/>
      <c r="J304" s="78"/>
      <c r="K304" s="78"/>
      <c r="L304" s="78"/>
      <c r="M304" s="209" t="s">
        <v>1115</v>
      </c>
      <c r="N304" s="32"/>
      <c r="O304" s="66"/>
      <c r="P304" s="60"/>
      <c r="Q304" s="56"/>
      <c r="R304" s="56"/>
      <c r="S304" s="56"/>
      <c r="T304" s="56"/>
      <c r="U304" s="36"/>
      <c r="V304" s="224"/>
      <c r="W304" s="36"/>
      <c r="X304" s="36"/>
      <c r="Y304" s="36"/>
      <c r="Z304" s="36"/>
      <c r="AA304" s="36"/>
      <c r="AB304" s="36"/>
      <c r="AC304" s="36"/>
      <c r="AD304" s="36"/>
      <c r="AE304" s="36"/>
      <c r="AF304" s="32"/>
      <c r="AG304" s="32"/>
    </row>
    <row r="305" spans="1:33">
      <c r="A305" s="24">
        <f t="shared" si="19"/>
        <v>23</v>
      </c>
      <c r="B305" s="66">
        <v>33</v>
      </c>
      <c r="C305" s="78" t="s">
        <v>1120</v>
      </c>
      <c r="D305" s="78"/>
      <c r="E305" s="78"/>
      <c r="F305" s="78">
        <v>203</v>
      </c>
      <c r="G305" s="209" t="s">
        <v>1114</v>
      </c>
      <c r="H305" s="292"/>
      <c r="I305" s="78"/>
      <c r="J305" s="78"/>
      <c r="K305" s="78"/>
      <c r="L305" s="78"/>
      <c r="M305" s="209" t="s">
        <v>1115</v>
      </c>
      <c r="N305" s="32"/>
      <c r="O305" s="66"/>
      <c r="P305" s="60"/>
      <c r="Q305" s="56"/>
      <c r="R305" s="56"/>
      <c r="S305" s="56"/>
      <c r="T305" s="56"/>
      <c r="U305" s="36"/>
      <c r="V305" s="224"/>
      <c r="W305" s="36"/>
      <c r="X305" s="36"/>
      <c r="Y305" s="36"/>
      <c r="Z305" s="36"/>
      <c r="AA305" s="36"/>
      <c r="AB305" s="36"/>
      <c r="AC305" s="36"/>
      <c r="AD305" s="36"/>
      <c r="AE305" s="36"/>
      <c r="AF305" s="32"/>
      <c r="AG305" s="32"/>
    </row>
    <row r="306" spans="1:33">
      <c r="B306" s="56"/>
      <c r="C306" s="36"/>
      <c r="D306" s="36"/>
      <c r="E306" s="36"/>
      <c r="F306" s="36"/>
      <c r="G306" s="36"/>
      <c r="H306" s="194"/>
      <c r="I306" s="36"/>
      <c r="J306" s="36"/>
      <c r="K306" s="36"/>
      <c r="L306" s="36"/>
      <c r="M306" s="109"/>
      <c r="N306" s="32"/>
      <c r="O306" s="56"/>
      <c r="P306" s="60"/>
      <c r="Q306" s="56"/>
      <c r="R306" s="56"/>
      <c r="S306" s="56"/>
      <c r="T306" s="56"/>
      <c r="U306" s="36"/>
      <c r="V306" s="224"/>
      <c r="W306" s="36"/>
      <c r="X306" s="36"/>
      <c r="Y306" s="36"/>
      <c r="Z306" s="36"/>
      <c r="AA306" s="36"/>
      <c r="AB306" s="36"/>
      <c r="AC306" s="36"/>
      <c r="AD306" s="36"/>
      <c r="AE306" s="36"/>
      <c r="AF306" s="32"/>
      <c r="AG306" s="32"/>
    </row>
    <row r="307" spans="1:33">
      <c r="B307" s="111"/>
      <c r="C307" s="36" t="s">
        <v>1121</v>
      </c>
      <c r="D307" s="36"/>
      <c r="E307" s="36"/>
      <c r="F307" s="36"/>
      <c r="G307" s="36"/>
      <c r="H307" s="194"/>
      <c r="I307" s="36"/>
      <c r="J307" s="36"/>
      <c r="K307" s="36"/>
      <c r="L307" s="36"/>
      <c r="M307" s="109"/>
      <c r="N307" s="32"/>
      <c r="O307" s="36"/>
      <c r="P307" s="17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</row>
    <row r="308" spans="1:33">
      <c r="A308" s="24">
        <v>1</v>
      </c>
      <c r="B308" s="66">
        <v>34</v>
      </c>
      <c r="C308" s="78" t="s">
        <v>1122</v>
      </c>
      <c r="D308" s="78" t="s">
        <v>1123</v>
      </c>
      <c r="E308" s="78"/>
      <c r="F308" s="78">
        <v>75</v>
      </c>
      <c r="G308" s="78" t="s">
        <v>1124</v>
      </c>
      <c r="H308" s="280"/>
      <c r="I308" s="78" t="s">
        <v>453</v>
      </c>
      <c r="J308" s="78"/>
      <c r="K308" s="78" t="s">
        <v>453</v>
      </c>
      <c r="L308" s="209" t="s">
        <v>1096</v>
      </c>
      <c r="M308" s="66" t="s">
        <v>1125</v>
      </c>
      <c r="N308" s="32"/>
      <c r="O308" s="71">
        <v>75488</v>
      </c>
      <c r="P308" s="71"/>
      <c r="Q308" s="94"/>
      <c r="R308" s="94"/>
      <c r="S308" s="94"/>
      <c r="T308" s="94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32"/>
      <c r="AG308" s="32"/>
    </row>
    <row r="309" spans="1:33">
      <c r="B309" s="56"/>
      <c r="C309" s="36"/>
      <c r="D309" s="36"/>
      <c r="E309" s="36"/>
      <c r="F309" s="36"/>
      <c r="G309" s="36"/>
      <c r="H309" s="194"/>
      <c r="I309" s="36"/>
      <c r="J309" s="36"/>
      <c r="K309" s="36"/>
      <c r="L309" s="109"/>
      <c r="M309" s="56"/>
      <c r="N309" s="32"/>
      <c r="O309" s="60"/>
      <c r="P309" s="172"/>
      <c r="Q309" s="90"/>
      <c r="R309" s="90"/>
      <c r="S309" s="90"/>
      <c r="T309" s="90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2"/>
      <c r="AG309" s="32"/>
    </row>
    <row r="310" spans="1:33">
      <c r="B310" s="56"/>
      <c r="C310" s="36" t="s">
        <v>1126</v>
      </c>
      <c r="D310" s="36"/>
      <c r="E310" s="36"/>
      <c r="F310" s="36"/>
      <c r="G310" s="36"/>
      <c r="H310" s="194"/>
      <c r="I310" s="36"/>
      <c r="J310" s="36"/>
      <c r="K310" s="36"/>
      <c r="L310" s="109"/>
      <c r="M310" s="56"/>
      <c r="N310" s="32"/>
      <c r="O310" s="60"/>
      <c r="P310" s="172"/>
      <c r="Q310" s="90"/>
      <c r="R310" s="90"/>
      <c r="S310" s="90"/>
      <c r="T310" s="90"/>
      <c r="U310" s="36"/>
      <c r="V310" s="36"/>
      <c r="W310" s="36"/>
      <c r="X310" s="36"/>
      <c r="Y310" s="32"/>
      <c r="Z310" s="32"/>
      <c r="AA310" s="32"/>
      <c r="AB310" s="32"/>
      <c r="AC310" s="32"/>
      <c r="AD310" s="32"/>
      <c r="AE310" s="32"/>
      <c r="AF310" s="32"/>
      <c r="AG310" s="32"/>
    </row>
    <row r="311" spans="1:33">
      <c r="A311" s="24">
        <v>2</v>
      </c>
      <c r="B311" s="66">
        <v>35</v>
      </c>
      <c r="C311" s="78" t="s">
        <v>1127</v>
      </c>
      <c r="D311" s="95" t="s">
        <v>1128</v>
      </c>
      <c r="E311" s="78"/>
      <c r="F311" s="78">
        <v>335</v>
      </c>
      <c r="G311" s="225" t="s">
        <v>1129</v>
      </c>
      <c r="H311" s="293"/>
      <c r="I311" s="78" t="s">
        <v>453</v>
      </c>
      <c r="J311" s="78"/>
      <c r="K311" s="78" t="s">
        <v>453</v>
      </c>
      <c r="L311" s="209" t="s">
        <v>380</v>
      </c>
      <c r="M311" s="66" t="s">
        <v>1130</v>
      </c>
      <c r="N311" s="32"/>
      <c r="O311" s="71">
        <v>95720</v>
      </c>
      <c r="P311" s="71"/>
      <c r="Q311" s="66"/>
      <c r="R311" s="66"/>
      <c r="S311" s="66"/>
      <c r="T311" s="66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32"/>
      <c r="AG311" s="32"/>
    </row>
    <row r="312" spans="1:33">
      <c r="B312" s="56"/>
      <c r="C312" s="36"/>
      <c r="D312" s="36"/>
      <c r="E312" s="36"/>
      <c r="F312" s="36"/>
      <c r="G312" s="225"/>
      <c r="H312" s="194"/>
      <c r="I312" s="36"/>
      <c r="J312" s="36"/>
      <c r="K312" s="36"/>
      <c r="L312" s="109"/>
      <c r="M312" s="56"/>
      <c r="N312" s="32"/>
      <c r="O312" s="60"/>
      <c r="P312" s="172"/>
      <c r="Q312" s="56"/>
      <c r="R312" s="56"/>
      <c r="S312" s="56"/>
      <c r="T312" s="5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2"/>
      <c r="AG312" s="32"/>
    </row>
    <row r="313" spans="1:33">
      <c r="B313" s="56"/>
      <c r="C313" s="36" t="s">
        <v>1131</v>
      </c>
      <c r="D313" s="36"/>
      <c r="E313" s="36"/>
      <c r="F313" s="36"/>
      <c r="G313" s="225"/>
      <c r="H313" s="194"/>
      <c r="I313" s="36"/>
      <c r="J313" s="36"/>
      <c r="K313" s="36"/>
      <c r="L313" s="109"/>
      <c r="M313" s="56"/>
      <c r="N313" s="32"/>
      <c r="O313" s="60"/>
      <c r="P313" s="172"/>
      <c r="Q313" s="90"/>
      <c r="R313" s="90"/>
      <c r="S313" s="90"/>
      <c r="T313" s="90"/>
      <c r="U313" s="36"/>
      <c r="V313" s="36"/>
      <c r="W313" s="36"/>
      <c r="X313" s="36"/>
      <c r="Y313" s="32"/>
      <c r="Z313" s="32"/>
      <c r="AA313" s="32"/>
      <c r="AB313" s="32"/>
      <c r="AC313" s="32"/>
      <c r="AD313" s="32"/>
      <c r="AE313" s="32"/>
      <c r="AF313" s="32"/>
      <c r="AG313" s="32"/>
    </row>
    <row r="314" spans="1:33">
      <c r="A314" s="24">
        <v>3</v>
      </c>
      <c r="B314" s="66">
        <v>36</v>
      </c>
      <c r="C314" s="78" t="s">
        <v>1132</v>
      </c>
      <c r="D314" s="78" t="s">
        <v>1133</v>
      </c>
      <c r="E314" s="78"/>
      <c r="F314" s="78">
        <v>165</v>
      </c>
      <c r="G314" s="225" t="s">
        <v>1134</v>
      </c>
      <c r="H314" s="293"/>
      <c r="I314" s="78" t="s">
        <v>262</v>
      </c>
      <c r="J314" s="78"/>
      <c r="K314" s="78" t="s">
        <v>262</v>
      </c>
      <c r="L314" s="209" t="s">
        <v>245</v>
      </c>
      <c r="M314" s="66" t="s">
        <v>1135</v>
      </c>
      <c r="N314" s="32"/>
      <c r="O314" s="71">
        <v>50575</v>
      </c>
      <c r="P314" s="71"/>
      <c r="Q314" s="142"/>
      <c r="R314" s="142"/>
      <c r="S314" s="142"/>
      <c r="T314" s="142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142">
        <v>35933</v>
      </c>
      <c r="AF314" s="32"/>
      <c r="AG314" s="32"/>
    </row>
    <row r="315" spans="1:33">
      <c r="A315" s="24">
        <v>4</v>
      </c>
      <c r="B315" s="66">
        <v>37</v>
      </c>
      <c r="C315" s="78" t="s">
        <v>1136</v>
      </c>
      <c r="D315" s="78" t="s">
        <v>1137</v>
      </c>
      <c r="E315" s="78"/>
      <c r="F315" s="78">
        <v>35</v>
      </c>
      <c r="G315" s="225" t="s">
        <v>1134</v>
      </c>
      <c r="H315" s="293"/>
      <c r="I315" s="78" t="s">
        <v>1000</v>
      </c>
      <c r="J315" s="78"/>
      <c r="K315" s="78" t="s">
        <v>1000</v>
      </c>
      <c r="L315" s="209" t="s">
        <v>233</v>
      </c>
      <c r="M315" s="66" t="s">
        <v>1138</v>
      </c>
      <c r="N315" s="32"/>
      <c r="O315" s="71">
        <v>50123</v>
      </c>
      <c r="P315" s="71"/>
      <c r="Q315" s="142"/>
      <c r="R315" s="142"/>
      <c r="S315" s="142"/>
      <c r="T315" s="142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142">
        <v>35933</v>
      </c>
      <c r="AF315" s="32"/>
      <c r="AG315" s="32"/>
    </row>
    <row r="316" spans="1:33">
      <c r="B316" s="56"/>
      <c r="C316" s="36"/>
      <c r="D316" s="36"/>
      <c r="E316" s="36"/>
      <c r="F316" s="36"/>
      <c r="G316" s="225"/>
      <c r="H316" s="194"/>
      <c r="I316" s="36"/>
      <c r="J316" s="36"/>
      <c r="K316" s="36"/>
      <c r="L316" s="109"/>
      <c r="M316" s="56"/>
      <c r="N316" s="32"/>
      <c r="O316" s="60"/>
      <c r="P316" s="172"/>
      <c r="Q316" s="195"/>
      <c r="R316" s="195"/>
      <c r="S316" s="195"/>
      <c r="T316" s="195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195"/>
      <c r="AF316" s="32"/>
      <c r="AG316" s="32"/>
    </row>
    <row r="317" spans="1:33">
      <c r="B317" s="56"/>
      <c r="C317" s="36" t="s">
        <v>1139</v>
      </c>
      <c r="D317" s="36"/>
      <c r="E317" s="36"/>
      <c r="F317" s="36"/>
      <c r="G317" s="225"/>
      <c r="H317" s="194"/>
      <c r="I317" s="36"/>
      <c r="J317" s="36"/>
      <c r="K317" s="36"/>
      <c r="L317" s="109"/>
      <c r="M317" s="56"/>
      <c r="N317" s="32"/>
      <c r="O317" s="60"/>
      <c r="P317" s="172"/>
      <c r="Q317" s="90"/>
      <c r="R317" s="90"/>
      <c r="S317" s="90"/>
      <c r="T317" s="90"/>
      <c r="U317" s="36"/>
      <c r="V317" s="36"/>
      <c r="W317" s="36"/>
      <c r="X317" s="36"/>
      <c r="Y317" s="32"/>
      <c r="Z317" s="32"/>
      <c r="AA317" s="32"/>
      <c r="AB317" s="32"/>
      <c r="AC317" s="32"/>
      <c r="AD317" s="32"/>
      <c r="AE317" s="32"/>
      <c r="AF317" s="32"/>
      <c r="AG317" s="32"/>
    </row>
    <row r="318" spans="1:33">
      <c r="A318" s="24">
        <v>5</v>
      </c>
      <c r="B318" s="66">
        <v>38</v>
      </c>
      <c r="C318" s="78" t="s">
        <v>1140</v>
      </c>
      <c r="D318" s="78" t="s">
        <v>1141</v>
      </c>
      <c r="E318" s="78"/>
      <c r="F318" s="78">
        <v>48</v>
      </c>
      <c r="G318" s="225" t="s">
        <v>1142</v>
      </c>
      <c r="H318" s="293"/>
      <c r="I318" s="78" t="s">
        <v>1000</v>
      </c>
      <c r="J318" s="78"/>
      <c r="K318" s="78" t="s">
        <v>1000</v>
      </c>
      <c r="L318" s="209" t="s">
        <v>350</v>
      </c>
      <c r="M318" s="66" t="s">
        <v>1143</v>
      </c>
      <c r="N318" s="32"/>
      <c r="O318" s="71">
        <v>74038</v>
      </c>
      <c r="P318" s="71"/>
      <c r="Q318" s="66"/>
      <c r="R318" s="66"/>
      <c r="S318" s="66"/>
      <c r="T318" s="66"/>
      <c r="U318" s="78"/>
      <c r="V318" s="78" t="s">
        <v>1144</v>
      </c>
      <c r="W318" s="78">
        <v>24000</v>
      </c>
      <c r="X318" s="78"/>
      <c r="Y318" s="78"/>
      <c r="Z318" s="78"/>
      <c r="AA318" s="78"/>
      <c r="AB318" s="78"/>
      <c r="AC318" s="78"/>
      <c r="AD318" s="78"/>
      <c r="AE318" s="142">
        <v>35961</v>
      </c>
      <c r="AF318" s="32"/>
      <c r="AG318" s="32"/>
    </row>
    <row r="319" spans="1:33">
      <c r="B319" s="56"/>
      <c r="C319" s="36"/>
      <c r="D319" s="36"/>
      <c r="E319" s="36"/>
      <c r="F319" s="36"/>
      <c r="G319" s="225"/>
      <c r="H319" s="194"/>
      <c r="I319" s="36"/>
      <c r="J319" s="36"/>
      <c r="K319" s="36"/>
      <c r="L319" s="109"/>
      <c r="M319" s="56"/>
      <c r="N319" s="32"/>
      <c r="O319" s="60"/>
      <c r="P319" s="172"/>
      <c r="Q319" s="56"/>
      <c r="R319" s="56"/>
      <c r="S319" s="56"/>
      <c r="T319" s="5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195"/>
      <c r="AF319" s="32"/>
      <c r="AG319" s="32"/>
    </row>
    <row r="320" spans="1:33">
      <c r="B320" s="56"/>
      <c r="C320" s="36" t="s">
        <v>1145</v>
      </c>
      <c r="D320" s="36"/>
      <c r="E320" s="36"/>
      <c r="F320" s="36"/>
      <c r="G320" s="225"/>
      <c r="H320" s="194"/>
      <c r="I320" s="36"/>
      <c r="J320" s="36"/>
      <c r="K320" s="36"/>
      <c r="L320" s="109"/>
      <c r="M320" s="56"/>
      <c r="N320" s="32"/>
      <c r="O320" s="60"/>
      <c r="P320" s="172"/>
      <c r="Q320" s="90"/>
      <c r="R320" s="90"/>
      <c r="S320" s="90"/>
      <c r="T320" s="90"/>
      <c r="U320" s="36"/>
      <c r="V320" s="36"/>
      <c r="W320" s="36"/>
      <c r="X320" s="36"/>
      <c r="Y320" s="32"/>
      <c r="Z320" s="32"/>
      <c r="AA320" s="32"/>
      <c r="AB320" s="32"/>
      <c r="AC320" s="32"/>
      <c r="AD320" s="32"/>
      <c r="AE320" s="32"/>
      <c r="AF320" s="32"/>
      <c r="AG320" s="32"/>
    </row>
    <row r="321" spans="1:33">
      <c r="A321" s="24">
        <v>6</v>
      </c>
      <c r="B321" s="66">
        <v>39</v>
      </c>
      <c r="C321" s="78" t="s">
        <v>1146</v>
      </c>
      <c r="D321" s="78" t="s">
        <v>1147</v>
      </c>
      <c r="E321" s="78"/>
      <c r="F321" s="78">
        <v>31</v>
      </c>
      <c r="G321" s="225" t="s">
        <v>1148</v>
      </c>
      <c r="H321" s="293"/>
      <c r="I321" s="78" t="s">
        <v>1000</v>
      </c>
      <c r="J321" s="78"/>
      <c r="K321" s="78" t="s">
        <v>1000</v>
      </c>
      <c r="L321" s="209" t="s">
        <v>259</v>
      </c>
      <c r="M321" s="66" t="s">
        <v>1149</v>
      </c>
      <c r="N321" s="32"/>
      <c r="O321" s="71">
        <v>54753</v>
      </c>
      <c r="P321" s="71"/>
      <c r="Q321" s="66"/>
      <c r="R321" s="66"/>
      <c r="S321" s="66"/>
      <c r="T321" s="66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142">
        <v>35968</v>
      </c>
      <c r="AF321" s="32"/>
      <c r="AG321" s="32"/>
    </row>
    <row r="322" spans="1:33">
      <c r="B322" s="56"/>
      <c r="C322" s="36"/>
      <c r="D322" s="36"/>
      <c r="E322" s="36"/>
      <c r="F322" s="36"/>
      <c r="G322" s="225"/>
      <c r="H322" s="194"/>
      <c r="I322" s="36"/>
      <c r="J322" s="36"/>
      <c r="K322" s="36"/>
      <c r="L322" s="109"/>
      <c r="M322" s="56"/>
      <c r="N322" s="32"/>
      <c r="O322" s="60"/>
      <c r="P322" s="172"/>
      <c r="Q322" s="56"/>
      <c r="R322" s="56"/>
      <c r="S322" s="56"/>
      <c r="T322" s="5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95"/>
      <c r="AF322" s="32"/>
      <c r="AG322" s="32"/>
    </row>
    <row r="323" spans="1:33">
      <c r="B323" s="56"/>
      <c r="C323" s="36" t="s">
        <v>1150</v>
      </c>
      <c r="D323" s="36"/>
      <c r="E323" s="36"/>
      <c r="F323" s="36"/>
      <c r="G323" s="225"/>
      <c r="H323" s="194"/>
      <c r="I323" s="36"/>
      <c r="J323" s="36"/>
      <c r="K323" s="36"/>
      <c r="L323" s="109"/>
      <c r="M323" s="56"/>
      <c r="N323" s="32"/>
      <c r="O323" s="60"/>
      <c r="P323" s="172"/>
      <c r="Q323" s="56"/>
      <c r="R323" s="56"/>
      <c r="S323" s="56"/>
      <c r="T323" s="5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195"/>
      <c r="AF323" s="32"/>
      <c r="AG323" s="32"/>
    </row>
    <row r="324" spans="1:33">
      <c r="A324" s="24">
        <v>7</v>
      </c>
      <c r="B324" s="66">
        <v>40</v>
      </c>
      <c r="C324" s="78" t="s">
        <v>1151</v>
      </c>
      <c r="D324" s="78" t="s">
        <v>1152</v>
      </c>
      <c r="E324" s="78"/>
      <c r="F324" s="78">
        <v>410</v>
      </c>
      <c r="G324" s="225" t="s">
        <v>1153</v>
      </c>
      <c r="H324" s="293"/>
      <c r="I324" s="78" t="s">
        <v>759</v>
      </c>
      <c r="J324" s="78"/>
      <c r="K324" s="78" t="s">
        <v>759</v>
      </c>
      <c r="L324" s="209" t="s">
        <v>380</v>
      </c>
      <c r="M324" s="66" t="s">
        <v>1154</v>
      </c>
      <c r="N324" s="32"/>
      <c r="O324" s="71">
        <v>57888</v>
      </c>
      <c r="P324" s="71"/>
      <c r="Q324" s="94"/>
      <c r="R324" s="94"/>
      <c r="S324" s="94" t="s">
        <v>1054</v>
      </c>
      <c r="T324" s="94" t="s">
        <v>703</v>
      </c>
      <c r="U324" s="78"/>
      <c r="V324" s="78"/>
      <c r="W324" s="78"/>
      <c r="X324" s="78"/>
      <c r="Y324" s="78"/>
      <c r="Z324" s="78"/>
      <c r="AA324" s="94">
        <v>20261</v>
      </c>
      <c r="AB324" s="79">
        <v>35825</v>
      </c>
      <c r="AC324" s="78">
        <v>51</v>
      </c>
      <c r="AD324" s="78"/>
      <c r="AE324" s="80">
        <v>35976</v>
      </c>
      <c r="AF324" s="32"/>
      <c r="AG324" s="32"/>
    </row>
    <row r="325" spans="1:33">
      <c r="A325" s="24">
        <v>8</v>
      </c>
      <c r="B325" s="66">
        <v>41</v>
      </c>
      <c r="C325" s="78" t="s">
        <v>1155</v>
      </c>
      <c r="D325" s="78" t="s">
        <v>1156</v>
      </c>
      <c r="E325" s="78"/>
      <c r="F325" s="78">
        <v>432</v>
      </c>
      <c r="G325" s="225" t="s">
        <v>1153</v>
      </c>
      <c r="H325" s="293"/>
      <c r="I325" s="78" t="s">
        <v>759</v>
      </c>
      <c r="J325" s="78"/>
      <c r="K325" s="78" t="s">
        <v>759</v>
      </c>
      <c r="L325" s="209" t="s">
        <v>380</v>
      </c>
      <c r="M325" s="66" t="s">
        <v>1157</v>
      </c>
      <c r="N325" s="32"/>
      <c r="O325" s="71">
        <v>58168</v>
      </c>
      <c r="P325" s="71"/>
      <c r="Q325" s="94"/>
      <c r="R325" s="94"/>
      <c r="S325" s="94" t="s">
        <v>1054</v>
      </c>
      <c r="T325" s="94" t="s">
        <v>1158</v>
      </c>
      <c r="U325" s="78"/>
      <c r="V325" s="78"/>
      <c r="W325" s="78"/>
      <c r="X325" s="78"/>
      <c r="Y325" s="78"/>
      <c r="Z325" s="78"/>
      <c r="AA325" s="94">
        <v>17450</v>
      </c>
      <c r="AB325" s="79">
        <v>35825</v>
      </c>
      <c r="AC325" s="78">
        <v>52</v>
      </c>
      <c r="AD325" s="78"/>
      <c r="AE325" s="80">
        <v>35976</v>
      </c>
      <c r="AF325" s="32"/>
      <c r="AG325" s="32"/>
    </row>
    <row r="326" spans="1:33">
      <c r="B326" s="56"/>
      <c r="C326" s="36"/>
      <c r="D326" s="36"/>
      <c r="E326" s="36"/>
      <c r="F326" s="36"/>
      <c r="G326" s="225"/>
      <c r="H326" s="194"/>
      <c r="I326" s="36"/>
      <c r="J326" s="36"/>
      <c r="K326" s="36"/>
      <c r="L326" s="109"/>
      <c r="M326" s="56"/>
      <c r="N326" s="32"/>
      <c r="O326" s="60"/>
      <c r="P326" s="172"/>
      <c r="Q326" s="90"/>
      <c r="R326" s="90"/>
      <c r="S326" s="90"/>
      <c r="T326" s="90"/>
      <c r="U326" s="36"/>
      <c r="V326" s="36"/>
      <c r="W326" s="36"/>
      <c r="X326" s="36"/>
      <c r="Y326" s="36"/>
      <c r="Z326" s="36"/>
      <c r="AA326" s="90"/>
      <c r="AB326" s="74"/>
      <c r="AC326" s="36"/>
      <c r="AD326" s="36"/>
      <c r="AE326" s="75"/>
      <c r="AF326" s="32"/>
      <c r="AG326" s="32"/>
    </row>
    <row r="327" spans="1:33">
      <c r="B327" s="56"/>
      <c r="C327" s="36" t="s">
        <v>1159</v>
      </c>
      <c r="D327" s="36"/>
      <c r="E327" s="36"/>
      <c r="F327" s="36"/>
      <c r="G327" s="225"/>
      <c r="H327" s="194"/>
      <c r="I327" s="36"/>
      <c r="J327" s="36"/>
      <c r="K327" s="36"/>
      <c r="L327" s="109"/>
      <c r="M327" s="56"/>
      <c r="N327" s="32"/>
      <c r="O327" s="60"/>
      <c r="P327" s="172"/>
      <c r="Q327" s="90"/>
      <c r="R327" s="90"/>
      <c r="S327" s="90"/>
      <c r="T327" s="90"/>
      <c r="U327" s="36"/>
      <c r="V327" s="36"/>
      <c r="W327" s="36"/>
      <c r="X327" s="36"/>
      <c r="Y327" s="36"/>
      <c r="Z327" s="36"/>
      <c r="AA327" s="90"/>
      <c r="AB327" s="74"/>
      <c r="AC327" s="36"/>
      <c r="AD327" s="36"/>
      <c r="AE327" s="75"/>
      <c r="AF327" s="32"/>
      <c r="AG327" s="32"/>
    </row>
    <row r="328" spans="1:33">
      <c r="A328" s="24">
        <v>9</v>
      </c>
      <c r="B328" s="66">
        <v>42</v>
      </c>
      <c r="C328" s="78" t="s">
        <v>1160</v>
      </c>
      <c r="D328" s="78"/>
      <c r="E328" s="78"/>
      <c r="F328" s="78">
        <v>406</v>
      </c>
      <c r="G328" s="225" t="s">
        <v>1161</v>
      </c>
      <c r="H328" s="293"/>
      <c r="I328" s="78" t="s">
        <v>759</v>
      </c>
      <c r="J328" s="78"/>
      <c r="K328" s="78" t="s">
        <v>759</v>
      </c>
      <c r="L328" s="209" t="s">
        <v>380</v>
      </c>
      <c r="M328" s="66" t="s">
        <v>1162</v>
      </c>
      <c r="N328" s="32"/>
      <c r="O328" s="71">
        <v>93608</v>
      </c>
      <c r="P328" s="71"/>
      <c r="Q328" s="94"/>
      <c r="R328" s="94"/>
      <c r="S328" s="94" t="s">
        <v>1163</v>
      </c>
      <c r="T328" s="94" t="s">
        <v>1164</v>
      </c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80">
        <v>36007</v>
      </c>
      <c r="AF328" s="32"/>
      <c r="AG328" s="32"/>
    </row>
    <row r="329" spans="1:33">
      <c r="B329" s="111"/>
      <c r="C329" s="36"/>
      <c r="D329" s="36"/>
      <c r="E329" s="36"/>
      <c r="F329" s="36"/>
      <c r="G329" s="225"/>
      <c r="H329" s="194"/>
      <c r="I329" s="36"/>
      <c r="J329" s="36"/>
      <c r="K329" s="36"/>
      <c r="L329" s="109"/>
      <c r="M329" s="32"/>
      <c r="N329" s="32"/>
      <c r="O329" s="60"/>
      <c r="P329" s="17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</row>
    <row r="330" spans="1:33">
      <c r="B330" s="56"/>
      <c r="C330" s="36" t="s">
        <v>1165</v>
      </c>
      <c r="D330" s="36"/>
      <c r="E330" s="36"/>
      <c r="F330" s="36"/>
      <c r="G330" s="225"/>
      <c r="H330" s="194"/>
      <c r="I330" s="36"/>
      <c r="J330" s="36"/>
      <c r="K330" s="36"/>
      <c r="L330" s="109"/>
      <c r="M330" s="56"/>
      <c r="N330" s="32"/>
      <c r="O330" s="60"/>
      <c r="P330" s="172"/>
      <c r="Q330" s="90"/>
      <c r="R330" s="90"/>
      <c r="S330" s="90"/>
      <c r="T330" s="90"/>
      <c r="U330" s="36"/>
      <c r="V330" s="36"/>
      <c r="W330" s="36"/>
      <c r="X330" s="36"/>
      <c r="Y330" s="36"/>
      <c r="Z330" s="36"/>
      <c r="AA330" s="90"/>
      <c r="AB330" s="74"/>
      <c r="AC330" s="36"/>
      <c r="AD330" s="36"/>
      <c r="AE330" s="75"/>
      <c r="AF330" s="32"/>
      <c r="AG330" s="32"/>
    </row>
    <row r="331" spans="1:33">
      <c r="A331" s="24">
        <v>10</v>
      </c>
      <c r="B331" s="66">
        <v>43</v>
      </c>
      <c r="C331" s="78" t="s">
        <v>1166</v>
      </c>
      <c r="D331" s="78" t="s">
        <v>1167</v>
      </c>
      <c r="E331" s="78"/>
      <c r="F331" s="78">
        <v>144</v>
      </c>
      <c r="G331" s="225" t="s">
        <v>1168</v>
      </c>
      <c r="H331" s="293"/>
      <c r="I331" s="78" t="s">
        <v>1000</v>
      </c>
      <c r="J331" s="78"/>
      <c r="K331" s="78" t="s">
        <v>1000</v>
      </c>
      <c r="L331" s="209" t="s">
        <v>259</v>
      </c>
      <c r="M331" s="66" t="s">
        <v>1169</v>
      </c>
      <c r="N331" s="32"/>
      <c r="O331" s="71">
        <v>135253</v>
      </c>
      <c r="P331" s="71"/>
      <c r="Q331" s="66"/>
      <c r="R331" s="66"/>
      <c r="S331" s="66"/>
      <c r="T331" s="66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80">
        <v>36039</v>
      </c>
      <c r="AF331" s="32"/>
      <c r="AG331" s="32"/>
    </row>
    <row r="332" spans="1:33">
      <c r="B332" s="111"/>
      <c r="C332" s="36"/>
      <c r="D332" s="36"/>
      <c r="E332" s="36"/>
      <c r="F332" s="36"/>
      <c r="G332" s="225"/>
      <c r="H332" s="194"/>
      <c r="I332" s="36"/>
      <c r="J332" s="36"/>
      <c r="K332" s="36"/>
      <c r="L332" s="109"/>
      <c r="M332" s="32"/>
      <c r="N332" s="32"/>
      <c r="O332" s="60"/>
      <c r="P332" s="17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</row>
    <row r="333" spans="1:33">
      <c r="B333" s="56"/>
      <c r="C333" s="36" t="s">
        <v>1170</v>
      </c>
      <c r="D333" s="36"/>
      <c r="E333" s="36"/>
      <c r="F333" s="36"/>
      <c r="G333" s="225"/>
      <c r="H333" s="194"/>
      <c r="I333" s="36"/>
      <c r="J333" s="36"/>
      <c r="K333" s="36"/>
      <c r="L333" s="109"/>
      <c r="M333" s="56"/>
      <c r="N333" s="32"/>
      <c r="O333" s="60"/>
      <c r="P333" s="172"/>
      <c r="Q333" s="90"/>
      <c r="R333" s="90"/>
      <c r="S333" s="90"/>
      <c r="T333" s="90"/>
      <c r="U333" s="36"/>
      <c r="V333" s="36"/>
      <c r="W333" s="36"/>
      <c r="X333" s="36"/>
      <c r="Y333" s="36"/>
      <c r="Z333" s="36"/>
      <c r="AA333" s="90"/>
      <c r="AB333" s="74"/>
      <c r="AC333" s="36"/>
      <c r="AD333" s="36"/>
      <c r="AE333" s="75"/>
      <c r="AF333" s="32"/>
      <c r="AG333" s="32"/>
    </row>
    <row r="334" spans="1:33">
      <c r="A334" s="24">
        <v>11</v>
      </c>
      <c r="B334" s="66">
        <v>44</v>
      </c>
      <c r="C334" s="78" t="s">
        <v>1171</v>
      </c>
      <c r="D334" s="78" t="s">
        <v>1172</v>
      </c>
      <c r="E334" s="78"/>
      <c r="F334" s="78">
        <v>388</v>
      </c>
      <c r="G334" s="225" t="s">
        <v>1173</v>
      </c>
      <c r="H334" s="293"/>
      <c r="I334" s="78" t="s">
        <v>296</v>
      </c>
      <c r="J334" s="78"/>
      <c r="K334" s="78" t="s">
        <v>296</v>
      </c>
      <c r="L334" s="209" t="s">
        <v>233</v>
      </c>
      <c r="M334" s="66" t="s">
        <v>1174</v>
      </c>
      <c r="N334" s="32"/>
      <c r="O334" s="71">
        <v>118130</v>
      </c>
      <c r="P334" s="71"/>
      <c r="Q334" s="66"/>
      <c r="R334" s="66"/>
      <c r="S334" s="66" t="s">
        <v>1175</v>
      </c>
      <c r="T334" s="66" t="s">
        <v>710</v>
      </c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80">
        <v>36066</v>
      </c>
      <c r="AF334" s="32"/>
      <c r="AG334" s="32"/>
    </row>
    <row r="335" spans="1:33">
      <c r="B335" s="111"/>
      <c r="C335" s="36"/>
      <c r="D335" s="36"/>
      <c r="E335" s="36"/>
      <c r="F335" s="36"/>
      <c r="G335" s="225"/>
      <c r="H335" s="194"/>
      <c r="I335" s="36"/>
      <c r="J335" s="36"/>
      <c r="K335" s="36"/>
      <c r="L335" s="109"/>
      <c r="M335" s="32"/>
      <c r="N335" s="32"/>
      <c r="O335" s="60"/>
      <c r="P335" s="17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</row>
    <row r="336" spans="1:33">
      <c r="B336" s="56"/>
      <c r="C336" s="36" t="s">
        <v>1176</v>
      </c>
      <c r="D336" s="36"/>
      <c r="E336" s="36"/>
      <c r="F336" s="36"/>
      <c r="G336" s="225"/>
      <c r="H336" s="194"/>
      <c r="I336" s="36"/>
      <c r="J336" s="36"/>
      <c r="K336" s="36"/>
      <c r="L336" s="109"/>
      <c r="M336" s="56"/>
      <c r="N336" s="32"/>
      <c r="O336" s="60"/>
      <c r="P336" s="172"/>
      <c r="Q336" s="90"/>
      <c r="R336" s="90"/>
      <c r="S336" s="90"/>
      <c r="T336" s="90"/>
      <c r="U336" s="36"/>
      <c r="V336" s="36"/>
      <c r="W336" s="36"/>
      <c r="X336" s="36"/>
      <c r="Y336" s="36"/>
      <c r="Z336" s="36"/>
      <c r="AA336" s="90"/>
      <c r="AB336" s="74"/>
      <c r="AC336" s="36"/>
      <c r="AD336" s="36"/>
      <c r="AE336" s="75"/>
      <c r="AF336" s="32"/>
      <c r="AG336" s="32"/>
    </row>
    <row r="337" spans="1:33">
      <c r="A337" s="24">
        <v>12</v>
      </c>
      <c r="B337" s="66">
        <v>45</v>
      </c>
      <c r="C337" s="78" t="s">
        <v>1177</v>
      </c>
      <c r="D337" s="78" t="s">
        <v>1178</v>
      </c>
      <c r="E337" s="78"/>
      <c r="F337" s="78">
        <v>297</v>
      </c>
      <c r="G337" s="225" t="s">
        <v>1179</v>
      </c>
      <c r="H337" s="293"/>
      <c r="I337" s="78" t="s">
        <v>759</v>
      </c>
      <c r="J337" s="78"/>
      <c r="K337" s="78" t="s">
        <v>759</v>
      </c>
      <c r="L337" s="209" t="s">
        <v>380</v>
      </c>
      <c r="M337" s="66" t="s">
        <v>1180</v>
      </c>
      <c r="N337" s="32"/>
      <c r="O337" s="71">
        <v>101340</v>
      </c>
      <c r="P337" s="71"/>
      <c r="Q337" s="94"/>
      <c r="R337" s="94"/>
      <c r="S337" s="94" t="s">
        <v>1181</v>
      </c>
      <c r="T337" s="94" t="s">
        <v>1182</v>
      </c>
      <c r="U337" s="99">
        <v>10134</v>
      </c>
      <c r="V337" s="79">
        <v>35866</v>
      </c>
      <c r="W337" s="78" t="s">
        <v>240</v>
      </c>
      <c r="X337" s="78"/>
      <c r="Y337" s="78">
        <v>3895.9</v>
      </c>
      <c r="Z337" s="129" t="e">
        <f>+#REF!-62381</f>
        <v>#REF!</v>
      </c>
      <c r="AA337" s="78">
        <v>31814</v>
      </c>
      <c r="AB337" s="79">
        <v>36035</v>
      </c>
      <c r="AC337" s="78">
        <v>570</v>
      </c>
      <c r="AD337" s="78"/>
      <c r="AE337" s="80">
        <v>36042</v>
      </c>
      <c r="AF337" s="32"/>
      <c r="AG337" s="32"/>
    </row>
    <row r="338" spans="1:33">
      <c r="B338" s="111"/>
      <c r="C338" s="36"/>
      <c r="D338" s="36"/>
      <c r="E338" s="36"/>
      <c r="F338" s="36"/>
      <c r="G338" s="225"/>
      <c r="H338" s="194"/>
      <c r="I338" s="36"/>
      <c r="J338" s="36"/>
      <c r="K338" s="36"/>
      <c r="L338" s="109"/>
      <c r="M338" s="32"/>
      <c r="N338" s="32"/>
      <c r="O338" s="60"/>
      <c r="P338" s="17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81">
        <v>36073</v>
      </c>
      <c r="AF338" s="32"/>
      <c r="AG338" s="32"/>
    </row>
    <row r="339" spans="1:33">
      <c r="B339" s="56"/>
      <c r="C339" s="36" t="s">
        <v>1183</v>
      </c>
      <c r="D339" s="36"/>
      <c r="E339" s="36"/>
      <c r="F339" s="36"/>
      <c r="G339" s="225"/>
      <c r="H339" s="194"/>
      <c r="I339" s="36"/>
      <c r="J339" s="36"/>
      <c r="K339" s="36"/>
      <c r="L339" s="109"/>
      <c r="M339" s="56"/>
      <c r="N339" s="32"/>
      <c r="O339" s="60"/>
      <c r="P339" s="172"/>
      <c r="Q339" s="90"/>
      <c r="R339" s="90"/>
      <c r="S339" s="90"/>
      <c r="T339" s="90"/>
      <c r="U339" s="36"/>
      <c r="V339" s="36"/>
      <c r="W339" s="36"/>
      <c r="X339" s="36"/>
      <c r="Y339" s="36"/>
      <c r="Z339" s="36"/>
      <c r="AA339" s="90"/>
      <c r="AB339" s="74"/>
      <c r="AC339" s="36"/>
      <c r="AD339" s="36"/>
      <c r="AE339" s="75"/>
      <c r="AF339" s="32"/>
      <c r="AG339" s="32"/>
    </row>
    <row r="340" spans="1:33">
      <c r="A340" s="24">
        <v>13</v>
      </c>
      <c r="B340" s="66">
        <v>46</v>
      </c>
      <c r="C340" s="78" t="s">
        <v>1184</v>
      </c>
      <c r="D340" s="78" t="s">
        <v>1185</v>
      </c>
      <c r="E340" s="78"/>
      <c r="F340" s="78">
        <v>243</v>
      </c>
      <c r="G340" s="225" t="s">
        <v>1179</v>
      </c>
      <c r="H340" s="293"/>
      <c r="I340" s="78" t="s">
        <v>349</v>
      </c>
      <c r="J340" s="78" t="s">
        <v>1186</v>
      </c>
      <c r="K340" s="78" t="s">
        <v>349</v>
      </c>
      <c r="L340" s="209" t="s">
        <v>233</v>
      </c>
      <c r="M340" s="66" t="s">
        <v>1187</v>
      </c>
      <c r="N340" s="32"/>
      <c r="O340" s="71">
        <v>81540</v>
      </c>
      <c r="P340" s="71"/>
      <c r="Q340" s="66"/>
      <c r="R340" s="66"/>
      <c r="S340" s="66" t="s">
        <v>505</v>
      </c>
      <c r="T340" s="66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80">
        <v>36073</v>
      </c>
      <c r="AF340" s="32"/>
      <c r="AG340" s="32"/>
    </row>
    <row r="341" spans="1:33">
      <c r="B341" s="111"/>
      <c r="C341" s="32"/>
      <c r="D341" s="32"/>
      <c r="E341" s="32"/>
      <c r="F341" s="32"/>
      <c r="G341" s="225"/>
      <c r="H341" s="194"/>
      <c r="I341" s="32"/>
      <c r="J341" s="32"/>
      <c r="K341" s="32"/>
      <c r="L341" s="190"/>
      <c r="M341" s="32"/>
      <c r="N341" s="32"/>
      <c r="O341" s="60"/>
      <c r="P341" s="17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</row>
    <row r="342" spans="1:33">
      <c r="B342" s="56"/>
      <c r="C342" s="36" t="s">
        <v>1188</v>
      </c>
      <c r="D342" s="36"/>
      <c r="E342" s="36"/>
      <c r="F342" s="36"/>
      <c r="G342" s="225"/>
      <c r="H342" s="194"/>
      <c r="I342" s="36"/>
      <c r="J342" s="36"/>
      <c r="K342" s="36"/>
      <c r="L342" s="109"/>
      <c r="M342" s="56"/>
      <c r="N342" s="32"/>
      <c r="O342" s="60"/>
      <c r="P342" s="172"/>
      <c r="Q342" s="90"/>
      <c r="R342" s="90"/>
      <c r="S342" s="32"/>
      <c r="T342" s="90"/>
      <c r="U342" s="36"/>
      <c r="V342" s="36"/>
      <c r="W342" s="36"/>
      <c r="X342" s="36"/>
      <c r="Y342" s="36"/>
      <c r="Z342" s="36"/>
      <c r="AA342" s="90"/>
      <c r="AB342" s="74"/>
      <c r="AC342" s="36"/>
      <c r="AD342" s="36"/>
      <c r="AE342" s="75"/>
      <c r="AF342" s="32"/>
      <c r="AG342" s="32"/>
    </row>
    <row r="343" spans="1:33">
      <c r="A343" s="24">
        <v>14</v>
      </c>
      <c r="B343" s="66">
        <v>47</v>
      </c>
      <c r="C343" s="78" t="s">
        <v>1189</v>
      </c>
      <c r="D343" s="78" t="s">
        <v>1190</v>
      </c>
      <c r="E343" s="78"/>
      <c r="F343" s="78">
        <v>310</v>
      </c>
      <c r="G343" s="225" t="s">
        <v>1191</v>
      </c>
      <c r="H343" s="293"/>
      <c r="I343" s="78" t="s">
        <v>1192</v>
      </c>
      <c r="J343" s="78"/>
      <c r="K343" s="78" t="s">
        <v>1192</v>
      </c>
      <c r="L343" s="209" t="s">
        <v>259</v>
      </c>
      <c r="M343" s="66" t="s">
        <v>1193</v>
      </c>
      <c r="N343" s="32"/>
      <c r="O343" s="71">
        <v>905936</v>
      </c>
      <c r="P343" s="71"/>
      <c r="Q343" s="94"/>
      <c r="R343" s="94"/>
      <c r="S343" s="94" t="s">
        <v>1194</v>
      </c>
      <c r="T343" s="94" t="s">
        <v>390</v>
      </c>
      <c r="U343" s="78"/>
      <c r="V343" s="78"/>
      <c r="W343" s="78"/>
      <c r="X343" s="78"/>
      <c r="Y343" s="78"/>
      <c r="Z343" s="78"/>
      <c r="AA343" s="78">
        <v>181187</v>
      </c>
      <c r="AB343" s="79">
        <v>35983</v>
      </c>
      <c r="AC343" s="78">
        <v>487</v>
      </c>
      <c r="AD343" s="78"/>
      <c r="AE343" s="80">
        <v>35992</v>
      </c>
      <c r="AF343" s="32"/>
      <c r="AG343" s="32"/>
    </row>
    <row r="344" spans="1:33">
      <c r="B344" s="111"/>
      <c r="C344" s="32"/>
      <c r="D344" s="32"/>
      <c r="E344" s="32"/>
      <c r="F344" s="32"/>
      <c r="G344" s="32"/>
      <c r="H344" s="196"/>
      <c r="I344" s="32"/>
      <c r="J344" s="32"/>
      <c r="K344" s="32"/>
      <c r="L344" s="190"/>
      <c r="M344" s="32"/>
      <c r="N344" s="32"/>
      <c r="O344" s="60"/>
      <c r="P344" s="17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81">
        <v>36122</v>
      </c>
      <c r="AF344" s="32"/>
      <c r="AG344" s="32"/>
    </row>
    <row r="345" spans="1:33">
      <c r="B345" s="56"/>
      <c r="C345" s="36" t="s">
        <v>1195</v>
      </c>
      <c r="D345" s="36"/>
      <c r="E345" s="36"/>
      <c r="F345" s="36"/>
      <c r="G345" s="36"/>
      <c r="H345" s="194"/>
      <c r="I345" s="36"/>
      <c r="J345" s="36"/>
      <c r="K345" s="36"/>
      <c r="L345" s="109"/>
      <c r="M345" s="56"/>
      <c r="N345" s="32"/>
      <c r="O345" s="60"/>
      <c r="P345" s="172"/>
      <c r="Q345" s="90"/>
      <c r="R345" s="90"/>
      <c r="S345" s="90"/>
      <c r="T345" s="90"/>
      <c r="U345" s="36"/>
      <c r="V345" s="36"/>
      <c r="W345" s="36"/>
      <c r="X345" s="36"/>
      <c r="Y345" s="36"/>
      <c r="Z345" s="36"/>
      <c r="AA345" s="90"/>
      <c r="AB345" s="74"/>
      <c r="AC345" s="36"/>
      <c r="AD345" s="36"/>
      <c r="AE345" s="75"/>
      <c r="AF345" s="32"/>
      <c r="AG345" s="32"/>
    </row>
    <row r="346" spans="1:33">
      <c r="A346" s="24">
        <v>1</v>
      </c>
      <c r="B346" s="66">
        <v>48</v>
      </c>
      <c r="C346" s="78" t="s">
        <v>1196</v>
      </c>
      <c r="D346" s="78" t="s">
        <v>1197</v>
      </c>
      <c r="E346" s="78"/>
      <c r="F346" s="78">
        <v>361</v>
      </c>
      <c r="G346" s="78" t="s">
        <v>1198</v>
      </c>
      <c r="H346" s="280"/>
      <c r="I346" s="78" t="s">
        <v>453</v>
      </c>
      <c r="J346" s="78"/>
      <c r="K346" s="78" t="s">
        <v>453</v>
      </c>
      <c r="L346" s="209" t="s">
        <v>380</v>
      </c>
      <c r="M346" s="66" t="s">
        <v>1199</v>
      </c>
      <c r="N346" s="32"/>
      <c r="O346" s="71">
        <v>88360</v>
      </c>
      <c r="P346" s="71"/>
      <c r="Q346" s="94"/>
      <c r="R346" s="94"/>
      <c r="S346" s="94" t="s">
        <v>1200</v>
      </c>
      <c r="T346" s="94" t="s">
        <v>1201</v>
      </c>
      <c r="U346" s="78"/>
      <c r="V346" s="78"/>
      <c r="W346" s="78"/>
      <c r="X346" s="78"/>
      <c r="Y346" s="78"/>
      <c r="Z346" s="78"/>
      <c r="AA346" s="78"/>
      <c r="AB346" s="79"/>
      <c r="AC346" s="78"/>
      <c r="AD346" s="78"/>
      <c r="AE346" s="80"/>
      <c r="AF346" s="32"/>
      <c r="AG346" s="32"/>
    </row>
    <row r="347" spans="1:33">
      <c r="B347" s="111"/>
      <c r="C347" s="32"/>
      <c r="D347" s="32"/>
      <c r="E347" s="32"/>
      <c r="F347" s="32"/>
      <c r="G347" s="78"/>
      <c r="H347" s="194"/>
      <c r="I347" s="32"/>
      <c r="J347" s="32"/>
      <c r="K347" s="32"/>
      <c r="L347" s="190"/>
      <c r="M347" s="32"/>
      <c r="N347" s="32"/>
      <c r="O347" s="172"/>
      <c r="P347" s="17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</row>
    <row r="348" spans="1:33">
      <c r="B348" s="56"/>
      <c r="C348" s="36" t="s">
        <v>1202</v>
      </c>
      <c r="D348" s="36"/>
      <c r="E348" s="36"/>
      <c r="F348" s="36"/>
      <c r="G348" s="78"/>
      <c r="H348" s="194"/>
      <c r="I348" s="36"/>
      <c r="J348" s="36"/>
      <c r="K348" s="36"/>
      <c r="L348" s="109"/>
      <c r="M348" s="56"/>
      <c r="N348" s="32"/>
      <c r="O348" s="60"/>
      <c r="P348" s="172"/>
      <c r="Q348" s="90"/>
      <c r="R348" s="90"/>
      <c r="S348" s="90"/>
      <c r="T348" s="90"/>
      <c r="U348" s="36"/>
      <c r="V348" s="36"/>
      <c r="W348" s="36"/>
      <c r="X348" s="36"/>
      <c r="Y348" s="36"/>
      <c r="Z348" s="36"/>
      <c r="AA348" s="90"/>
      <c r="AB348" s="74"/>
      <c r="AC348" s="36"/>
      <c r="AD348" s="36"/>
      <c r="AE348" s="75"/>
      <c r="AF348" s="32"/>
      <c r="AG348" s="32"/>
    </row>
    <row r="349" spans="1:33">
      <c r="A349" s="24">
        <v>2</v>
      </c>
      <c r="B349" s="66">
        <v>49</v>
      </c>
      <c r="C349" s="78" t="s">
        <v>1203</v>
      </c>
      <c r="D349" s="78" t="s">
        <v>1204</v>
      </c>
      <c r="E349" s="78"/>
      <c r="F349" s="78">
        <v>115</v>
      </c>
      <c r="G349" s="78" t="s">
        <v>1205</v>
      </c>
      <c r="H349" s="280"/>
      <c r="I349" s="78" t="s">
        <v>1000</v>
      </c>
      <c r="J349" s="78"/>
      <c r="K349" s="78" t="s">
        <v>1000</v>
      </c>
      <c r="L349" s="209" t="s">
        <v>259</v>
      </c>
      <c r="M349" s="66" t="s">
        <v>1206</v>
      </c>
      <c r="N349" s="32"/>
      <c r="O349" s="71">
        <v>96543</v>
      </c>
      <c r="P349" s="71"/>
      <c r="Q349" s="94"/>
      <c r="R349" s="94"/>
      <c r="S349" s="94"/>
      <c r="T349" s="94"/>
      <c r="U349" s="78"/>
      <c r="V349" s="78"/>
      <c r="W349" s="78"/>
      <c r="X349" s="78"/>
      <c r="Y349" s="78"/>
      <c r="Z349" s="78"/>
      <c r="AA349" s="78"/>
      <c r="AB349" s="79"/>
      <c r="AC349" s="78"/>
      <c r="AD349" s="78"/>
      <c r="AE349" s="80"/>
      <c r="AF349" s="32"/>
      <c r="AG349" s="32"/>
    </row>
    <row r="350" spans="1:33">
      <c r="B350" s="111"/>
      <c r="C350" s="32"/>
      <c r="D350" s="32"/>
      <c r="E350" s="32"/>
      <c r="F350" s="32"/>
      <c r="G350" s="78"/>
      <c r="H350" s="194"/>
      <c r="I350" s="32"/>
      <c r="J350" s="32"/>
      <c r="K350" s="32"/>
      <c r="L350" s="190"/>
      <c r="M350" s="32"/>
      <c r="N350" s="32"/>
      <c r="O350" s="60"/>
      <c r="P350" s="17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81"/>
      <c r="AF350" s="32"/>
      <c r="AG350" s="32"/>
    </row>
    <row r="351" spans="1:33">
      <c r="B351" s="56"/>
      <c r="C351" s="36" t="s">
        <v>1207</v>
      </c>
      <c r="D351" s="36"/>
      <c r="E351" s="36"/>
      <c r="F351" s="36"/>
      <c r="G351" s="78"/>
      <c r="H351" s="194"/>
      <c r="I351" s="36"/>
      <c r="J351" s="36"/>
      <c r="K351" s="36"/>
      <c r="L351" s="109"/>
      <c r="M351" s="56"/>
      <c r="N351" s="32"/>
      <c r="O351" s="60"/>
      <c r="P351" s="172"/>
      <c r="Q351" s="90"/>
      <c r="R351" s="90"/>
      <c r="S351" s="90"/>
      <c r="T351" s="90"/>
      <c r="U351" s="36"/>
      <c r="V351" s="36"/>
      <c r="W351" s="36"/>
      <c r="X351" s="36"/>
      <c r="Y351" s="36"/>
      <c r="Z351" s="36"/>
      <c r="AA351" s="90"/>
      <c r="AB351" s="74"/>
      <c r="AC351" s="36"/>
      <c r="AD351" s="36"/>
      <c r="AE351" s="75"/>
      <c r="AF351" s="32"/>
      <c r="AG351" s="32"/>
    </row>
    <row r="352" spans="1:33">
      <c r="A352" s="24">
        <v>3</v>
      </c>
      <c r="B352" s="66">
        <v>50</v>
      </c>
      <c r="C352" s="78" t="s">
        <v>1208</v>
      </c>
      <c r="D352" s="78" t="s">
        <v>1209</v>
      </c>
      <c r="E352" s="78"/>
      <c r="F352" s="78">
        <v>462</v>
      </c>
      <c r="G352" s="78" t="s">
        <v>1210</v>
      </c>
      <c r="H352" s="280"/>
      <c r="I352" s="78" t="s">
        <v>1000</v>
      </c>
      <c r="J352" s="78"/>
      <c r="K352" s="78" t="s">
        <v>1000</v>
      </c>
      <c r="L352" s="209" t="s">
        <v>1096</v>
      </c>
      <c r="M352" s="66" t="s">
        <v>1211</v>
      </c>
      <c r="N352" s="32"/>
      <c r="O352" s="71">
        <v>335614</v>
      </c>
      <c r="P352" s="71"/>
      <c r="Q352" s="94"/>
      <c r="R352" s="94"/>
      <c r="S352" s="94" t="s">
        <v>1212</v>
      </c>
      <c r="T352" s="94" t="s">
        <v>1213</v>
      </c>
      <c r="U352" s="78"/>
      <c r="V352" s="78"/>
      <c r="W352" s="78"/>
      <c r="X352" s="78"/>
      <c r="Y352" s="78"/>
      <c r="Z352" s="78"/>
      <c r="AA352" s="78"/>
      <c r="AB352" s="79"/>
      <c r="AC352" s="78"/>
      <c r="AD352" s="78"/>
      <c r="AE352" s="80"/>
      <c r="AF352" s="32"/>
      <c r="AG352" s="32"/>
    </row>
    <row r="353" spans="1:33">
      <c r="B353" s="111"/>
      <c r="C353" s="32"/>
      <c r="D353" s="32"/>
      <c r="E353" s="32"/>
      <c r="F353" s="32"/>
      <c r="G353" s="78"/>
      <c r="H353" s="194"/>
      <c r="I353" s="32"/>
      <c r="J353" s="32"/>
      <c r="K353" s="32"/>
      <c r="L353" s="190"/>
      <c r="M353" s="32"/>
      <c r="N353" s="32"/>
      <c r="O353" s="60"/>
      <c r="P353" s="17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81"/>
      <c r="AF353" s="32"/>
      <c r="AG353" s="32"/>
    </row>
    <row r="354" spans="1:33">
      <c r="B354" s="111"/>
      <c r="C354" s="36" t="s">
        <v>1214</v>
      </c>
      <c r="D354" s="36"/>
      <c r="E354" s="36"/>
      <c r="F354" s="32"/>
      <c r="G354" s="78"/>
      <c r="H354" s="194"/>
      <c r="I354" s="32"/>
      <c r="J354" s="32"/>
      <c r="K354" s="32"/>
      <c r="L354" s="190"/>
      <c r="M354" s="32"/>
      <c r="N354" s="32"/>
      <c r="O354" s="172"/>
      <c r="P354" s="17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</row>
    <row r="355" spans="1:33">
      <c r="A355" s="24">
        <v>4</v>
      </c>
      <c r="B355" s="66">
        <v>51</v>
      </c>
      <c r="C355" s="78" t="s">
        <v>1215</v>
      </c>
      <c r="D355" s="78" t="s">
        <v>1216</v>
      </c>
      <c r="E355" s="78"/>
      <c r="F355" s="78">
        <v>213</v>
      </c>
      <c r="G355" s="78" t="s">
        <v>1217</v>
      </c>
      <c r="H355" s="280"/>
      <c r="I355" s="78" t="s">
        <v>453</v>
      </c>
      <c r="J355" s="78"/>
      <c r="K355" s="78" t="s">
        <v>453</v>
      </c>
      <c r="L355" s="209" t="s">
        <v>380</v>
      </c>
      <c r="M355" s="66" t="s">
        <v>1218</v>
      </c>
      <c r="N355" s="32"/>
      <c r="O355" s="71">
        <v>59686</v>
      </c>
      <c r="P355" s="71"/>
      <c r="Q355" s="66"/>
      <c r="R355" s="66"/>
      <c r="S355" s="66" t="s">
        <v>1219</v>
      </c>
      <c r="T355" s="66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96"/>
      <c r="AF355" s="32"/>
      <c r="AG355" s="32"/>
    </row>
    <row r="356" spans="1:33">
      <c r="B356" s="56"/>
      <c r="C356" s="36"/>
      <c r="D356" s="36"/>
      <c r="E356" s="36"/>
      <c r="F356" s="36"/>
      <c r="G356" s="78"/>
      <c r="H356" s="194"/>
      <c r="I356" s="36"/>
      <c r="J356" s="36"/>
      <c r="K356" s="36"/>
      <c r="L356" s="109"/>
      <c r="M356" s="56"/>
      <c r="N356" s="32"/>
      <c r="O356" s="60"/>
      <c r="P356" s="172"/>
      <c r="Q356" s="56"/>
      <c r="R356" s="56"/>
      <c r="S356" s="56"/>
      <c r="T356" s="5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92"/>
      <c r="AF356" s="32"/>
      <c r="AG356" s="32"/>
    </row>
    <row r="357" spans="1:33">
      <c r="B357" s="111"/>
      <c r="C357" s="36" t="s">
        <v>1220</v>
      </c>
      <c r="D357" s="36"/>
      <c r="E357" s="36"/>
      <c r="F357" s="32"/>
      <c r="G357" s="78"/>
      <c r="H357" s="194"/>
      <c r="I357" s="32"/>
      <c r="J357" s="32"/>
      <c r="K357" s="32"/>
      <c r="L357" s="190"/>
      <c r="M357" s="32"/>
      <c r="N357" s="32"/>
      <c r="O357" s="172"/>
      <c r="P357" s="17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</row>
    <row r="358" spans="1:33">
      <c r="A358" s="24">
        <v>5</v>
      </c>
      <c r="B358" s="66">
        <v>52</v>
      </c>
      <c r="C358" s="78" t="s">
        <v>1221</v>
      </c>
      <c r="D358" s="78" t="s">
        <v>1222</v>
      </c>
      <c r="E358" s="78"/>
      <c r="F358" s="78">
        <v>346</v>
      </c>
      <c r="G358" s="78" t="s">
        <v>1223</v>
      </c>
      <c r="H358" s="280"/>
      <c r="I358" s="78" t="s">
        <v>349</v>
      </c>
      <c r="J358" s="78"/>
      <c r="K358" s="78" t="s">
        <v>349</v>
      </c>
      <c r="L358" s="209" t="s">
        <v>1096</v>
      </c>
      <c r="M358" s="66" t="s">
        <v>1224</v>
      </c>
      <c r="N358" s="32"/>
      <c r="O358" s="71">
        <v>84292</v>
      </c>
      <c r="P358" s="71"/>
      <c r="Q358" s="94"/>
      <c r="R358" s="94"/>
      <c r="S358" s="94" t="s">
        <v>1225</v>
      </c>
      <c r="T358" s="94" t="s">
        <v>1226</v>
      </c>
      <c r="U358" s="78"/>
      <c r="V358" s="78"/>
      <c r="W358" s="78"/>
      <c r="X358" s="78"/>
      <c r="Y358" s="78"/>
      <c r="Z358" s="78"/>
      <c r="AA358" s="78">
        <v>42998</v>
      </c>
      <c r="AB358" s="79">
        <v>35769</v>
      </c>
      <c r="AC358" s="78">
        <v>766</v>
      </c>
      <c r="AD358" s="78"/>
      <c r="AE358" s="80">
        <v>35828</v>
      </c>
      <c r="AF358" s="32"/>
      <c r="AG358" s="32"/>
    </row>
    <row r="359" spans="1:33">
      <c r="B359" s="56"/>
      <c r="C359" s="36"/>
      <c r="D359" s="36"/>
      <c r="E359" s="36"/>
      <c r="F359" s="36"/>
      <c r="G359" s="78"/>
      <c r="H359" s="194"/>
      <c r="I359" s="36"/>
      <c r="J359" s="36"/>
      <c r="K359" s="36"/>
      <c r="L359" s="109"/>
      <c r="M359" s="56"/>
      <c r="N359" s="32"/>
      <c r="O359" s="60"/>
      <c r="P359" s="172"/>
      <c r="Q359" s="90"/>
      <c r="R359" s="90"/>
      <c r="S359" s="90"/>
      <c r="T359" s="90"/>
      <c r="U359" s="36"/>
      <c r="V359" s="36"/>
      <c r="W359" s="36"/>
      <c r="X359" s="36"/>
      <c r="Y359" s="36"/>
      <c r="Z359" s="36"/>
      <c r="AA359" s="36"/>
      <c r="AB359" s="74"/>
      <c r="AC359" s="36"/>
      <c r="AD359" s="36"/>
      <c r="AE359" s="75"/>
      <c r="AF359" s="32"/>
      <c r="AG359" s="32"/>
    </row>
    <row r="360" spans="1:33">
      <c r="B360" s="111"/>
      <c r="C360" s="36" t="s">
        <v>1227</v>
      </c>
      <c r="D360" s="36"/>
      <c r="E360" s="36"/>
      <c r="F360" s="32"/>
      <c r="G360" s="78"/>
      <c r="H360" s="194"/>
      <c r="I360" s="32"/>
      <c r="J360" s="32"/>
      <c r="K360" s="32"/>
      <c r="L360" s="190"/>
      <c r="M360" s="32"/>
      <c r="N360" s="32"/>
      <c r="O360" s="172"/>
      <c r="P360" s="17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</row>
    <row r="361" spans="1:33">
      <c r="A361" s="24">
        <v>6</v>
      </c>
      <c r="B361" s="66">
        <v>53</v>
      </c>
      <c r="C361" s="78" t="s">
        <v>1228</v>
      </c>
      <c r="D361" s="78" t="s">
        <v>1229</v>
      </c>
      <c r="E361" s="78"/>
      <c r="F361" s="78">
        <v>337</v>
      </c>
      <c r="G361" s="78" t="s">
        <v>1230</v>
      </c>
      <c r="H361" s="280"/>
      <c r="I361" s="78" t="s">
        <v>349</v>
      </c>
      <c r="J361" s="78" t="s">
        <v>1231</v>
      </c>
      <c r="K361" s="78" t="s">
        <v>349</v>
      </c>
      <c r="L361" s="209" t="s">
        <v>245</v>
      </c>
      <c r="M361" s="66" t="s">
        <v>1232</v>
      </c>
      <c r="N361" s="32"/>
      <c r="O361" s="71">
        <v>50070</v>
      </c>
      <c r="P361" s="71"/>
      <c r="Q361" s="66"/>
      <c r="R361" s="66"/>
      <c r="S361" s="66" t="s">
        <v>1233</v>
      </c>
      <c r="T361" s="66" t="s">
        <v>699</v>
      </c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96"/>
      <c r="AF361" s="32"/>
      <c r="AG361" s="32"/>
    </row>
    <row r="362" spans="1:33">
      <c r="B362" s="111"/>
      <c r="C362" s="32"/>
      <c r="D362" s="32"/>
      <c r="E362" s="32"/>
      <c r="F362" s="32"/>
      <c r="G362" s="78"/>
      <c r="H362" s="194"/>
      <c r="I362" s="32"/>
      <c r="J362" s="32"/>
      <c r="K362" s="32"/>
      <c r="L362" s="190"/>
      <c r="M362" s="32"/>
      <c r="N362" s="32"/>
      <c r="O362" s="60"/>
      <c r="P362" s="17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</row>
    <row r="363" spans="1:33">
      <c r="B363" s="111"/>
      <c r="C363" s="36" t="s">
        <v>1234</v>
      </c>
      <c r="D363" s="36"/>
      <c r="E363" s="36"/>
      <c r="F363" s="32"/>
      <c r="G363" s="78"/>
      <c r="H363" s="194"/>
      <c r="I363" s="32"/>
      <c r="J363" s="32"/>
      <c r="K363" s="32"/>
      <c r="L363" s="190"/>
      <c r="M363" s="32"/>
      <c r="N363" s="32"/>
      <c r="O363" s="172"/>
      <c r="P363" s="17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</row>
    <row r="364" spans="1:33">
      <c r="A364" s="24">
        <v>7</v>
      </c>
      <c r="B364" s="66">
        <v>54</v>
      </c>
      <c r="C364" s="78" t="s">
        <v>1235</v>
      </c>
      <c r="D364" s="78" t="s">
        <v>1236</v>
      </c>
      <c r="E364" s="78"/>
      <c r="F364" s="78">
        <v>387</v>
      </c>
      <c r="G364" s="78" t="s">
        <v>1237</v>
      </c>
      <c r="H364" s="280"/>
      <c r="I364" s="78" t="s">
        <v>296</v>
      </c>
      <c r="J364" s="78"/>
      <c r="K364" s="78" t="s">
        <v>296</v>
      </c>
      <c r="L364" s="209" t="s">
        <v>1096</v>
      </c>
      <c r="M364" s="66" t="s">
        <v>1238</v>
      </c>
      <c r="N364" s="32"/>
      <c r="O364" s="71">
        <v>105112</v>
      </c>
      <c r="P364" s="71"/>
      <c r="Q364" s="94"/>
      <c r="R364" s="94"/>
      <c r="S364" s="94" t="s">
        <v>792</v>
      </c>
      <c r="T364" s="94" t="s">
        <v>792</v>
      </c>
      <c r="U364" s="78"/>
      <c r="V364" s="78"/>
      <c r="W364" s="78"/>
      <c r="X364" s="78"/>
      <c r="Y364" s="78"/>
      <c r="Z364" s="78"/>
      <c r="AA364" s="78">
        <v>53607</v>
      </c>
      <c r="AB364" s="79">
        <v>35748</v>
      </c>
      <c r="AC364" s="78">
        <v>676</v>
      </c>
      <c r="AD364" s="78"/>
      <c r="AE364" s="80">
        <v>35453</v>
      </c>
      <c r="AF364" s="32"/>
      <c r="AG364" s="32"/>
    </row>
    <row r="365" spans="1:33">
      <c r="B365" s="111"/>
      <c r="C365" s="32"/>
      <c r="D365" s="32"/>
      <c r="E365" s="32"/>
      <c r="F365" s="32"/>
      <c r="G365" s="78"/>
      <c r="H365" s="194"/>
      <c r="I365" s="32"/>
      <c r="J365" s="32"/>
      <c r="K365" s="32"/>
      <c r="L365" s="190"/>
      <c r="M365" s="32"/>
      <c r="N365" s="32"/>
      <c r="O365" s="60"/>
      <c r="P365" s="17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</row>
    <row r="366" spans="1:33">
      <c r="B366" s="111"/>
      <c r="C366" s="36" t="s">
        <v>1239</v>
      </c>
      <c r="D366" s="36"/>
      <c r="E366" s="36"/>
      <c r="F366" s="32"/>
      <c r="G366" s="78"/>
      <c r="H366" s="194"/>
      <c r="I366" s="32"/>
      <c r="J366" s="32"/>
      <c r="K366" s="32"/>
      <c r="L366" s="190"/>
      <c r="M366" s="32"/>
      <c r="N366" s="32"/>
      <c r="O366" s="172"/>
      <c r="P366" s="17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</row>
    <row r="367" spans="1:33">
      <c r="A367" s="24">
        <v>8</v>
      </c>
      <c r="B367" s="66">
        <v>55</v>
      </c>
      <c r="C367" s="78" t="s">
        <v>1240</v>
      </c>
      <c r="D367" s="78" t="s">
        <v>1241</v>
      </c>
      <c r="E367" s="78"/>
      <c r="F367" s="78">
        <v>224</v>
      </c>
      <c r="G367" s="78" t="s">
        <v>1242</v>
      </c>
      <c r="H367" s="280"/>
      <c r="I367" s="78" t="s">
        <v>1000</v>
      </c>
      <c r="J367" s="78"/>
      <c r="K367" s="78" t="s">
        <v>1000</v>
      </c>
      <c r="L367" s="209" t="s">
        <v>380</v>
      </c>
      <c r="M367" s="66" t="s">
        <v>1243</v>
      </c>
      <c r="N367" s="32"/>
      <c r="O367" s="71">
        <v>115843</v>
      </c>
      <c r="P367" s="71"/>
      <c r="Q367" s="66"/>
      <c r="R367" s="66"/>
      <c r="S367" s="66"/>
      <c r="T367" s="66"/>
      <c r="U367" s="78">
        <v>30100</v>
      </c>
      <c r="V367" s="78"/>
      <c r="W367" s="78"/>
      <c r="X367" s="78"/>
      <c r="Y367" s="78"/>
      <c r="Z367" s="78"/>
      <c r="AA367" s="78"/>
      <c r="AB367" s="78"/>
      <c r="AC367" s="78"/>
      <c r="AD367" s="78"/>
      <c r="AE367" s="96"/>
      <c r="AF367" s="32"/>
      <c r="AG367" s="32"/>
    </row>
    <row r="368" spans="1:33">
      <c r="B368" s="111"/>
      <c r="C368" s="32"/>
      <c r="D368" s="32"/>
      <c r="E368" s="32"/>
      <c r="F368" s="32"/>
      <c r="G368" s="78"/>
      <c r="H368" s="194"/>
      <c r="I368" s="32"/>
      <c r="J368" s="32"/>
      <c r="K368" s="32"/>
      <c r="L368" s="190"/>
      <c r="M368" s="32"/>
      <c r="N368" s="32"/>
      <c r="O368" s="60"/>
      <c r="P368" s="17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</row>
    <row r="369" spans="1:33">
      <c r="B369" s="111"/>
      <c r="C369" s="36" t="s">
        <v>1244</v>
      </c>
      <c r="D369" s="36"/>
      <c r="E369" s="36"/>
      <c r="F369" s="32"/>
      <c r="G369" s="78"/>
      <c r="H369" s="194"/>
      <c r="I369" s="32"/>
      <c r="J369" s="32"/>
      <c r="K369" s="32"/>
      <c r="L369" s="190"/>
      <c r="M369" s="32"/>
      <c r="N369" s="32"/>
      <c r="O369" s="172"/>
      <c r="P369" s="17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</row>
    <row r="370" spans="1:33">
      <c r="A370" s="24">
        <v>9</v>
      </c>
      <c r="B370" s="66">
        <v>56</v>
      </c>
      <c r="C370" s="78" t="s">
        <v>1245</v>
      </c>
      <c r="D370" s="78" t="s">
        <v>1246</v>
      </c>
      <c r="E370" s="78"/>
      <c r="F370" s="78">
        <v>15</v>
      </c>
      <c r="G370" s="78" t="s">
        <v>1242</v>
      </c>
      <c r="H370" s="280"/>
      <c r="I370" s="78" t="s">
        <v>1000</v>
      </c>
      <c r="J370" s="78"/>
      <c r="K370" s="78" t="s">
        <v>1000</v>
      </c>
      <c r="L370" s="209" t="s">
        <v>350</v>
      </c>
      <c r="M370" s="66" t="s">
        <v>1247</v>
      </c>
      <c r="N370" s="32"/>
      <c r="O370" s="71">
        <v>75385</v>
      </c>
      <c r="P370" s="71"/>
      <c r="Q370" s="66"/>
      <c r="R370" s="66"/>
      <c r="S370" s="66"/>
      <c r="T370" s="66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96"/>
      <c r="AF370" s="32"/>
      <c r="AG370" s="32"/>
    </row>
    <row r="371" spans="1:33">
      <c r="B371" s="111"/>
      <c r="C371" s="32"/>
      <c r="D371" s="32"/>
      <c r="E371" s="32"/>
      <c r="F371" s="32"/>
      <c r="G371" s="78"/>
      <c r="H371" s="194"/>
      <c r="I371" s="32"/>
      <c r="J371" s="32"/>
      <c r="K371" s="32"/>
      <c r="L371" s="190"/>
      <c r="M371" s="32"/>
      <c r="N371" s="32"/>
      <c r="O371" s="60"/>
      <c r="P371" s="17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</row>
    <row r="372" spans="1:33">
      <c r="B372" s="111"/>
      <c r="C372" s="36" t="s">
        <v>1248</v>
      </c>
      <c r="D372" s="36"/>
      <c r="E372" s="36"/>
      <c r="F372" s="32"/>
      <c r="G372" s="78"/>
      <c r="H372" s="194"/>
      <c r="I372" s="32"/>
      <c r="J372" s="32"/>
      <c r="K372" s="32"/>
      <c r="L372" s="190"/>
      <c r="M372" s="32"/>
      <c r="N372" s="32"/>
      <c r="O372" s="172"/>
      <c r="P372" s="17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</row>
    <row r="373" spans="1:33">
      <c r="A373" s="24">
        <v>10</v>
      </c>
      <c r="B373" s="66">
        <v>57</v>
      </c>
      <c r="C373" s="78" t="s">
        <v>1249</v>
      </c>
      <c r="D373" s="78" t="s">
        <v>1250</v>
      </c>
      <c r="E373" s="78"/>
      <c r="F373" s="78">
        <v>284</v>
      </c>
      <c r="G373" s="78" t="s">
        <v>1251</v>
      </c>
      <c r="H373" s="280"/>
      <c r="I373" s="78" t="s">
        <v>1000</v>
      </c>
      <c r="J373" s="78"/>
      <c r="K373" s="78" t="s">
        <v>1000</v>
      </c>
      <c r="L373" s="209" t="s">
        <v>350</v>
      </c>
      <c r="M373" s="66" t="s">
        <v>1252</v>
      </c>
      <c r="N373" s="32"/>
      <c r="O373" s="71">
        <v>242143</v>
      </c>
      <c r="P373" s="71"/>
      <c r="Q373" s="66"/>
      <c r="R373" s="66"/>
      <c r="S373" s="66" t="s">
        <v>1253</v>
      </c>
      <c r="T373" s="66" t="s">
        <v>1254</v>
      </c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96"/>
      <c r="AF373" s="32"/>
      <c r="AG373" s="32"/>
    </row>
    <row r="374" spans="1:33">
      <c r="B374" s="111"/>
      <c r="C374" s="32"/>
      <c r="D374" s="32"/>
      <c r="E374" s="32"/>
      <c r="F374" s="32"/>
      <c r="G374" s="78"/>
      <c r="H374" s="194"/>
      <c r="I374" s="32"/>
      <c r="J374" s="32"/>
      <c r="K374" s="32"/>
      <c r="L374" s="190"/>
      <c r="M374" s="32"/>
      <c r="N374" s="32"/>
      <c r="O374" s="60"/>
      <c r="P374" s="17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</row>
    <row r="375" spans="1:33">
      <c r="B375" s="111"/>
      <c r="C375" s="36" t="s">
        <v>1248</v>
      </c>
      <c r="D375" s="36"/>
      <c r="E375" s="36"/>
      <c r="F375" s="32"/>
      <c r="G375" s="78"/>
      <c r="H375" s="194"/>
      <c r="I375" s="32"/>
      <c r="J375" s="32"/>
      <c r="K375" s="32"/>
      <c r="L375" s="190"/>
      <c r="M375" s="32"/>
      <c r="N375" s="32"/>
      <c r="O375" s="172"/>
      <c r="P375" s="17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</row>
    <row r="376" spans="1:33">
      <c r="A376" s="24">
        <v>11</v>
      </c>
      <c r="B376" s="66">
        <v>58</v>
      </c>
      <c r="C376" s="78" t="s">
        <v>1255</v>
      </c>
      <c r="D376" s="78" t="s">
        <v>1256</v>
      </c>
      <c r="E376" s="78"/>
      <c r="F376" s="78">
        <v>131</v>
      </c>
      <c r="G376" s="78" t="s">
        <v>1257</v>
      </c>
      <c r="H376" s="280"/>
      <c r="I376" s="78" t="s">
        <v>1000</v>
      </c>
      <c r="J376" s="78"/>
      <c r="K376" s="78" t="s">
        <v>1000</v>
      </c>
      <c r="L376" s="209" t="s">
        <v>350</v>
      </c>
      <c r="M376" s="66" t="s">
        <v>1258</v>
      </c>
      <c r="N376" s="32"/>
      <c r="O376" s="71">
        <v>159806</v>
      </c>
      <c r="P376" s="71"/>
      <c r="Q376" s="66"/>
      <c r="R376" s="66"/>
      <c r="S376" s="66"/>
      <c r="T376" s="66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96"/>
      <c r="AF376" s="32"/>
      <c r="AG376" s="32"/>
    </row>
    <row r="377" spans="1:33">
      <c r="B377" s="111"/>
      <c r="C377" s="32"/>
      <c r="D377" s="32"/>
      <c r="E377" s="32"/>
      <c r="F377" s="32"/>
      <c r="G377" s="78"/>
      <c r="H377" s="194"/>
      <c r="I377" s="32"/>
      <c r="J377" s="32"/>
      <c r="K377" s="32"/>
      <c r="L377" s="190"/>
      <c r="M377" s="32"/>
      <c r="N377" s="32"/>
      <c r="O377" s="60"/>
      <c r="P377" s="17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</row>
    <row r="378" spans="1:33">
      <c r="B378" s="111"/>
      <c r="C378" s="36" t="s">
        <v>1259</v>
      </c>
      <c r="D378" s="36"/>
      <c r="E378" s="36"/>
      <c r="F378" s="32"/>
      <c r="G378" s="78"/>
      <c r="H378" s="194"/>
      <c r="I378" s="32"/>
      <c r="J378" s="32"/>
      <c r="K378" s="32"/>
      <c r="L378" s="190"/>
      <c r="M378" s="32"/>
      <c r="N378" s="32"/>
      <c r="O378" s="172"/>
      <c r="P378" s="17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</row>
    <row r="379" spans="1:33">
      <c r="A379" s="24">
        <v>12</v>
      </c>
      <c r="B379" s="66">
        <v>59</v>
      </c>
      <c r="C379" s="78" t="s">
        <v>1260</v>
      </c>
      <c r="D379" s="78" t="s">
        <v>1261</v>
      </c>
      <c r="E379" s="78"/>
      <c r="F379" s="78">
        <v>483</v>
      </c>
      <c r="G379" s="78" t="s">
        <v>1257</v>
      </c>
      <c r="H379" s="280"/>
      <c r="I379" s="78" t="s">
        <v>1000</v>
      </c>
      <c r="J379" s="78"/>
      <c r="K379" s="78" t="s">
        <v>1000</v>
      </c>
      <c r="L379" s="209" t="s">
        <v>245</v>
      </c>
      <c r="M379" s="66" t="s">
        <v>1262</v>
      </c>
      <c r="N379" s="32"/>
      <c r="O379" s="71">
        <v>38829</v>
      </c>
      <c r="P379" s="71"/>
      <c r="Q379" s="77">
        <v>38829</v>
      </c>
      <c r="R379" s="77"/>
      <c r="S379" s="77"/>
      <c r="T379" s="77"/>
      <c r="U379" s="78"/>
      <c r="V379" s="78"/>
      <c r="W379" s="78"/>
      <c r="X379" s="79">
        <v>36048</v>
      </c>
      <c r="Y379" s="78"/>
      <c r="Z379" s="78"/>
      <c r="AA379" s="78"/>
      <c r="AB379" s="79"/>
      <c r="AC379" s="78"/>
      <c r="AD379" s="78"/>
      <c r="AE379" s="80"/>
      <c r="AF379" s="32"/>
      <c r="AG379" s="32"/>
    </row>
    <row r="380" spans="1:33">
      <c r="B380" s="111"/>
      <c r="C380" s="32"/>
      <c r="D380" s="32"/>
      <c r="E380" s="32"/>
      <c r="F380" s="32"/>
      <c r="G380" s="78"/>
      <c r="H380" s="194"/>
      <c r="I380" s="32"/>
      <c r="J380" s="32"/>
      <c r="K380" s="32"/>
      <c r="L380" s="190"/>
      <c r="M380" s="32"/>
      <c r="N380" s="32"/>
      <c r="O380" s="60"/>
      <c r="P380" s="17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</row>
    <row r="381" spans="1:33">
      <c r="B381" s="111"/>
      <c r="C381" s="36" t="s">
        <v>1263</v>
      </c>
      <c r="D381" s="36"/>
      <c r="E381" s="36"/>
      <c r="F381" s="32"/>
      <c r="G381" s="78"/>
      <c r="H381" s="194"/>
      <c r="I381" s="32"/>
      <c r="J381" s="32"/>
      <c r="K381" s="32"/>
      <c r="L381" s="190"/>
      <c r="M381" s="32"/>
      <c r="N381" s="32"/>
      <c r="O381" s="172"/>
      <c r="P381" s="17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</row>
    <row r="382" spans="1:33">
      <c r="A382" s="24">
        <v>13</v>
      </c>
      <c r="B382" s="66">
        <v>60</v>
      </c>
      <c r="C382" s="78" t="s">
        <v>1264</v>
      </c>
      <c r="D382" s="78" t="s">
        <v>1265</v>
      </c>
      <c r="E382" s="78"/>
      <c r="F382" s="78">
        <v>30</v>
      </c>
      <c r="G382" s="78" t="s">
        <v>1266</v>
      </c>
      <c r="H382" s="280"/>
      <c r="I382" s="78" t="s">
        <v>1000</v>
      </c>
      <c r="J382" s="78"/>
      <c r="K382" s="78" t="s">
        <v>1000</v>
      </c>
      <c r="L382" s="209" t="s">
        <v>350</v>
      </c>
      <c r="M382" s="66" t="s">
        <v>1267</v>
      </c>
      <c r="N382" s="32"/>
      <c r="O382" s="71">
        <v>561236</v>
      </c>
      <c r="P382" s="71"/>
      <c r="Q382" s="66"/>
      <c r="R382" s="66"/>
      <c r="S382" s="66"/>
      <c r="T382" s="66"/>
      <c r="U382" s="78"/>
      <c r="V382" s="79">
        <v>35443</v>
      </c>
      <c r="W382" s="78">
        <v>180000</v>
      </c>
      <c r="X382" s="78"/>
      <c r="Y382" s="78"/>
      <c r="Z382" s="78"/>
      <c r="AA382" s="78"/>
      <c r="AB382" s="78"/>
      <c r="AC382" s="78"/>
      <c r="AD382" s="78"/>
      <c r="AE382" s="96"/>
      <c r="AF382" s="32"/>
      <c r="AG382" s="32"/>
    </row>
    <row r="383" spans="1:33">
      <c r="B383" s="111"/>
      <c r="C383" s="32"/>
      <c r="D383" s="32"/>
      <c r="E383" s="32"/>
      <c r="F383" s="32"/>
      <c r="G383" s="78"/>
      <c r="H383" s="194"/>
      <c r="I383" s="32"/>
      <c r="J383" s="32"/>
      <c r="K383" s="32"/>
      <c r="L383" s="190"/>
      <c r="M383" s="32"/>
      <c r="N383" s="32"/>
      <c r="O383" s="60"/>
      <c r="P383" s="17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</row>
    <row r="384" spans="1:33">
      <c r="B384" s="111"/>
      <c r="C384" s="32" t="s">
        <v>1268</v>
      </c>
      <c r="D384" s="32"/>
      <c r="E384" s="32"/>
      <c r="F384" s="32"/>
      <c r="G384" s="78"/>
      <c r="H384" s="194"/>
      <c r="I384" s="32"/>
      <c r="J384" s="32"/>
      <c r="K384" s="32"/>
      <c r="L384" s="190"/>
      <c r="M384" s="32"/>
      <c r="N384" s="32"/>
      <c r="O384" s="60"/>
      <c r="P384" s="17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</row>
    <row r="385" spans="1:38">
      <c r="A385" s="24">
        <v>14</v>
      </c>
      <c r="B385" s="66">
        <v>61</v>
      </c>
      <c r="C385" s="78"/>
      <c r="D385" s="78" t="s">
        <v>1269</v>
      </c>
      <c r="E385" s="78"/>
      <c r="F385" s="78"/>
      <c r="G385" s="78" t="s">
        <v>1270</v>
      </c>
      <c r="H385" s="280"/>
      <c r="I385" s="78"/>
      <c r="J385" s="78"/>
      <c r="K385" s="78"/>
      <c r="L385" s="209"/>
      <c r="M385" s="78"/>
      <c r="N385" s="32"/>
      <c r="O385" s="71"/>
      <c r="P385" s="17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78"/>
      <c r="AF385" s="32"/>
      <c r="AG385" s="32"/>
    </row>
    <row r="386" spans="1:38">
      <c r="B386" s="111"/>
      <c r="C386" s="32"/>
      <c r="D386" s="32"/>
      <c r="E386" s="32"/>
      <c r="F386" s="32"/>
      <c r="G386" s="32"/>
      <c r="H386" s="196"/>
      <c r="I386" s="32"/>
      <c r="J386" s="32"/>
      <c r="K386" s="32"/>
      <c r="L386" s="190"/>
      <c r="M386" s="32"/>
      <c r="N386" s="32"/>
      <c r="O386" s="172"/>
      <c r="P386" s="17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</row>
    <row r="387" spans="1:38">
      <c r="B387" s="111"/>
      <c r="C387" s="36" t="s">
        <v>1271</v>
      </c>
      <c r="D387" s="36"/>
      <c r="E387" s="36"/>
      <c r="F387" s="32"/>
      <c r="G387" s="32"/>
      <c r="H387" s="196"/>
      <c r="I387" s="32"/>
      <c r="J387" s="32"/>
      <c r="K387" s="32"/>
      <c r="L387" s="190"/>
      <c r="M387" s="32"/>
      <c r="N387" s="32"/>
      <c r="O387" s="172"/>
      <c r="P387" s="17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</row>
    <row r="388" spans="1:38">
      <c r="A388" s="24">
        <v>1</v>
      </c>
      <c r="B388" s="66">
        <v>62</v>
      </c>
      <c r="C388" s="78" t="s">
        <v>1272</v>
      </c>
      <c r="D388" s="78" t="s">
        <v>1273</v>
      </c>
      <c r="E388" s="78"/>
      <c r="F388" s="78">
        <v>124</v>
      </c>
      <c r="G388" s="78" t="s">
        <v>1274</v>
      </c>
      <c r="H388" s="280"/>
      <c r="I388" s="78" t="s">
        <v>422</v>
      </c>
      <c r="J388" s="78"/>
      <c r="K388" s="78" t="s">
        <v>422</v>
      </c>
      <c r="L388" s="209" t="s">
        <v>380</v>
      </c>
      <c r="M388" s="66" t="s">
        <v>1275</v>
      </c>
      <c r="N388" s="32"/>
      <c r="O388" s="71">
        <v>193680</v>
      </c>
      <c r="P388" s="71"/>
      <c r="Q388" s="94"/>
      <c r="R388" s="94"/>
      <c r="S388" s="94"/>
      <c r="T388" s="94"/>
      <c r="U388" s="78"/>
      <c r="V388" s="78"/>
      <c r="W388" s="78"/>
      <c r="X388" s="78"/>
      <c r="Y388" s="78"/>
      <c r="Z388" s="78"/>
      <c r="AA388" s="78">
        <v>98777</v>
      </c>
      <c r="AB388" s="79">
        <v>36237</v>
      </c>
      <c r="AC388" s="78">
        <v>240</v>
      </c>
      <c r="AD388" s="78"/>
      <c r="AE388" s="80">
        <v>36242</v>
      </c>
      <c r="AF388" s="36"/>
      <c r="AG388" s="36"/>
      <c r="AH388" s="83"/>
      <c r="AI388" s="83"/>
      <c r="AJ388" s="83"/>
      <c r="AK388" s="83"/>
    </row>
    <row r="389" spans="1:38">
      <c r="B389" s="56"/>
      <c r="C389" s="36"/>
      <c r="D389" s="36"/>
      <c r="E389" s="36"/>
      <c r="F389" s="36"/>
      <c r="G389" s="36"/>
      <c r="H389" s="194"/>
      <c r="I389" s="36"/>
      <c r="J389" s="36"/>
      <c r="K389" s="36"/>
      <c r="L389" s="109"/>
      <c r="M389" s="56"/>
      <c r="N389" s="32"/>
      <c r="O389" s="60"/>
      <c r="P389" s="172"/>
      <c r="Q389" s="90"/>
      <c r="R389" s="90"/>
      <c r="S389" s="90"/>
      <c r="T389" s="90"/>
      <c r="U389" s="36"/>
      <c r="V389" s="36"/>
      <c r="W389" s="36"/>
      <c r="X389" s="36"/>
      <c r="Y389" s="36"/>
      <c r="Z389" s="36"/>
      <c r="AA389" s="36"/>
      <c r="AB389" s="74"/>
      <c r="AC389" s="36"/>
      <c r="AD389" s="36"/>
      <c r="AE389" s="75"/>
      <c r="AF389" s="36"/>
      <c r="AG389" s="36"/>
      <c r="AH389" s="83"/>
      <c r="AI389" s="83"/>
      <c r="AJ389" s="83"/>
      <c r="AK389" s="83"/>
      <c r="AL389" s="83"/>
    </row>
    <row r="390" spans="1:38">
      <c r="B390" s="56"/>
      <c r="C390" s="36" t="s">
        <v>1276</v>
      </c>
      <c r="D390" s="36"/>
      <c r="E390" s="36"/>
      <c r="F390" s="36"/>
      <c r="G390" s="36"/>
      <c r="H390" s="194"/>
      <c r="I390" s="36"/>
      <c r="J390" s="36"/>
      <c r="K390" s="36"/>
      <c r="L390" s="109"/>
      <c r="M390" s="56"/>
      <c r="N390" s="32"/>
      <c r="O390" s="60"/>
      <c r="P390" s="172"/>
      <c r="Q390" s="90"/>
      <c r="R390" s="90"/>
      <c r="S390" s="90"/>
      <c r="T390" s="90"/>
      <c r="U390" s="36"/>
      <c r="V390" s="36"/>
      <c r="W390" s="36"/>
      <c r="X390" s="36"/>
      <c r="Y390" s="36"/>
      <c r="Z390" s="36"/>
      <c r="AA390" s="36"/>
      <c r="AB390" s="74"/>
      <c r="AC390" s="36"/>
      <c r="AD390" s="36"/>
      <c r="AE390" s="75"/>
      <c r="AF390" s="32"/>
      <c r="AG390" s="32"/>
      <c r="AL390" s="83"/>
    </row>
    <row r="391" spans="1:38">
      <c r="A391" s="24">
        <v>2</v>
      </c>
      <c r="B391" s="66">
        <v>63</v>
      </c>
      <c r="C391" s="78" t="s">
        <v>1277</v>
      </c>
      <c r="D391" s="78" t="s">
        <v>1278</v>
      </c>
      <c r="E391" s="78"/>
      <c r="F391" s="78">
        <v>347</v>
      </c>
      <c r="G391" s="78" t="s">
        <v>1279</v>
      </c>
      <c r="H391" s="280"/>
      <c r="I391" s="78" t="s">
        <v>345</v>
      </c>
      <c r="J391" s="78"/>
      <c r="K391" s="78" t="s">
        <v>345</v>
      </c>
      <c r="L391" s="209" t="s">
        <v>350</v>
      </c>
      <c r="M391" s="66" t="s">
        <v>1280</v>
      </c>
      <c r="N391" s="32"/>
      <c r="O391" s="71">
        <v>207384</v>
      </c>
      <c r="P391" s="71"/>
      <c r="Q391" s="94"/>
      <c r="R391" s="94"/>
      <c r="S391" s="94" t="s">
        <v>1281</v>
      </c>
      <c r="T391" s="94" t="s">
        <v>879</v>
      </c>
      <c r="U391" s="78"/>
      <c r="V391" s="78"/>
      <c r="W391" s="78"/>
      <c r="X391" s="78"/>
      <c r="Y391" s="78"/>
      <c r="Z391" s="78"/>
      <c r="AA391" s="78">
        <v>62215</v>
      </c>
      <c r="AB391" s="79">
        <v>35825</v>
      </c>
      <c r="AC391" s="78">
        <v>58</v>
      </c>
      <c r="AD391" s="78"/>
      <c r="AE391" s="80">
        <v>36105</v>
      </c>
      <c r="AF391" s="32"/>
      <c r="AG391" s="32"/>
    </row>
    <row r="392" spans="1:38">
      <c r="B392" s="111"/>
      <c r="C392" s="32"/>
      <c r="D392" s="32"/>
      <c r="E392" s="32"/>
      <c r="F392" s="32"/>
      <c r="G392" s="78"/>
      <c r="H392" s="194"/>
      <c r="I392" s="32"/>
      <c r="J392" s="32"/>
      <c r="K392" s="32"/>
      <c r="L392" s="190"/>
      <c r="M392" s="32"/>
      <c r="N392" s="32"/>
      <c r="O392" s="60"/>
      <c r="P392" s="17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</row>
    <row r="393" spans="1:38">
      <c r="B393" s="111"/>
      <c r="C393" s="36" t="s">
        <v>1282</v>
      </c>
      <c r="D393" s="36"/>
      <c r="E393" s="36"/>
      <c r="F393" s="32"/>
      <c r="G393" s="78"/>
      <c r="H393" s="194"/>
      <c r="I393" s="32"/>
      <c r="J393" s="32"/>
      <c r="K393" s="32"/>
      <c r="L393" s="190"/>
      <c r="M393" s="32"/>
      <c r="N393" s="32"/>
      <c r="O393" s="172"/>
      <c r="P393" s="17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</row>
    <row r="394" spans="1:38">
      <c r="A394" s="24">
        <v>3</v>
      </c>
      <c r="B394" s="66">
        <v>64</v>
      </c>
      <c r="C394" s="78" t="s">
        <v>1283</v>
      </c>
      <c r="D394" s="78" t="s">
        <v>1284</v>
      </c>
      <c r="E394" s="78"/>
      <c r="F394" s="78">
        <v>66</v>
      </c>
      <c r="G394" s="78" t="s">
        <v>1285</v>
      </c>
      <c r="H394" s="280"/>
      <c r="I394" s="78" t="s">
        <v>1000</v>
      </c>
      <c r="J394" s="78"/>
      <c r="K394" s="78" t="s">
        <v>1000</v>
      </c>
      <c r="L394" s="209" t="s">
        <v>1286</v>
      </c>
      <c r="M394" s="66" t="s">
        <v>1287</v>
      </c>
      <c r="N394" s="32"/>
      <c r="O394" s="71">
        <v>107630</v>
      </c>
      <c r="P394" s="71"/>
      <c r="Q394" s="66"/>
      <c r="R394" s="66"/>
      <c r="S394" s="66"/>
      <c r="T394" s="66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96"/>
      <c r="AF394" s="32"/>
      <c r="AG394" s="32"/>
    </row>
    <row r="395" spans="1:38">
      <c r="B395" s="56"/>
      <c r="C395" s="36"/>
      <c r="D395" s="36"/>
      <c r="E395" s="36"/>
      <c r="F395" s="36"/>
      <c r="G395" s="78"/>
      <c r="H395" s="194"/>
      <c r="I395" s="36"/>
      <c r="J395" s="36"/>
      <c r="K395" s="36"/>
      <c r="L395" s="109"/>
      <c r="M395" s="56"/>
      <c r="N395" s="32"/>
      <c r="O395" s="60"/>
      <c r="P395" s="172"/>
      <c r="Q395" s="56"/>
      <c r="R395" s="56"/>
      <c r="S395" s="56"/>
      <c r="T395" s="5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92"/>
      <c r="AF395" s="32"/>
      <c r="AG395" s="32"/>
    </row>
    <row r="396" spans="1:38">
      <c r="B396" s="111"/>
      <c r="C396" s="36" t="s">
        <v>1288</v>
      </c>
      <c r="D396" s="36"/>
      <c r="E396" s="36"/>
      <c r="F396" s="32"/>
      <c r="G396" s="78"/>
      <c r="H396" s="194"/>
      <c r="I396" s="32"/>
      <c r="J396" s="32"/>
      <c r="K396" s="32"/>
      <c r="L396" s="190"/>
      <c r="M396" s="32"/>
      <c r="N396" s="32"/>
      <c r="O396" s="172"/>
      <c r="P396" s="17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</row>
    <row r="397" spans="1:38">
      <c r="A397" s="24">
        <v>4</v>
      </c>
      <c r="B397" s="66">
        <v>65</v>
      </c>
      <c r="C397" s="78" t="s">
        <v>1289</v>
      </c>
      <c r="D397" s="78" t="s">
        <v>1290</v>
      </c>
      <c r="E397" s="78"/>
      <c r="F397" s="78">
        <v>299</v>
      </c>
      <c r="G397" s="78" t="s">
        <v>1291</v>
      </c>
      <c r="H397" s="280"/>
      <c r="I397" s="78" t="s">
        <v>345</v>
      </c>
      <c r="J397" s="78"/>
      <c r="K397" s="78" t="s">
        <v>345</v>
      </c>
      <c r="L397" s="209" t="s">
        <v>1096</v>
      </c>
      <c r="M397" s="66" t="s">
        <v>1292</v>
      </c>
      <c r="N397" s="32"/>
      <c r="O397" s="71">
        <v>67677</v>
      </c>
      <c r="P397" s="71"/>
      <c r="Q397" s="66"/>
      <c r="R397" s="66"/>
      <c r="S397" s="66" t="s">
        <v>1293</v>
      </c>
      <c r="T397" s="66" t="s">
        <v>1294</v>
      </c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96"/>
      <c r="AF397" s="32"/>
      <c r="AG397" s="32"/>
    </row>
    <row r="398" spans="1:38">
      <c r="B398" s="56"/>
      <c r="C398" s="36"/>
      <c r="D398" s="36"/>
      <c r="E398" s="36"/>
      <c r="F398" s="36"/>
      <c r="G398" s="78"/>
      <c r="H398" s="194"/>
      <c r="I398" s="36"/>
      <c r="J398" s="36"/>
      <c r="K398" s="36"/>
      <c r="L398" s="109"/>
      <c r="M398" s="56"/>
      <c r="N398" s="32"/>
      <c r="O398" s="60"/>
      <c r="P398" s="172"/>
      <c r="Q398" s="56"/>
      <c r="R398" s="56"/>
      <c r="S398" s="56"/>
      <c r="T398" s="5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92"/>
      <c r="AF398" s="32"/>
      <c r="AG398" s="32"/>
    </row>
    <row r="399" spans="1:38">
      <c r="B399" s="111"/>
      <c r="C399" s="36" t="s">
        <v>1295</v>
      </c>
      <c r="D399" s="36"/>
      <c r="E399" s="36"/>
      <c r="F399" s="32"/>
      <c r="G399" s="78"/>
      <c r="H399" s="194"/>
      <c r="I399" s="32"/>
      <c r="J399" s="32"/>
      <c r="K399" s="32"/>
      <c r="L399" s="190"/>
      <c r="M399" s="32"/>
      <c r="N399" s="32"/>
      <c r="O399" s="172"/>
      <c r="P399" s="17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</row>
    <row r="400" spans="1:38">
      <c r="A400" s="24">
        <v>5</v>
      </c>
      <c r="B400" s="66">
        <v>66</v>
      </c>
      <c r="C400" s="78" t="s">
        <v>1296</v>
      </c>
      <c r="D400" s="78" t="s">
        <v>1297</v>
      </c>
      <c r="E400" s="78"/>
      <c r="F400" s="78">
        <v>103</v>
      </c>
      <c r="G400" s="78" t="s">
        <v>1291</v>
      </c>
      <c r="H400" s="280"/>
      <c r="I400" s="78" t="s">
        <v>1000</v>
      </c>
      <c r="J400" s="78"/>
      <c r="K400" s="78" t="s">
        <v>1000</v>
      </c>
      <c r="L400" s="209" t="s">
        <v>245</v>
      </c>
      <c r="M400" s="66" t="s">
        <v>1298</v>
      </c>
      <c r="N400" s="32"/>
      <c r="O400" s="71">
        <v>68658</v>
      </c>
      <c r="P400" s="71"/>
      <c r="Q400" s="66"/>
      <c r="R400" s="66"/>
      <c r="S400" s="66"/>
      <c r="T400" s="66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96"/>
      <c r="AF400" s="32"/>
      <c r="AG400" s="32"/>
    </row>
    <row r="401" spans="1:33">
      <c r="B401" s="111"/>
      <c r="C401" s="32"/>
      <c r="D401" s="32"/>
      <c r="E401" s="32"/>
      <c r="F401" s="32"/>
      <c r="G401" s="78"/>
      <c r="H401" s="194"/>
      <c r="I401" s="32"/>
      <c r="J401" s="32"/>
      <c r="K401" s="32"/>
      <c r="L401" s="190"/>
      <c r="M401" s="32"/>
      <c r="N401" s="32"/>
      <c r="O401" s="60"/>
      <c r="P401" s="17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</row>
    <row r="402" spans="1:33">
      <c r="B402" s="111"/>
      <c r="C402" s="36" t="s">
        <v>1299</v>
      </c>
      <c r="D402" s="36"/>
      <c r="E402" s="36"/>
      <c r="F402" s="32"/>
      <c r="G402" s="78"/>
      <c r="H402" s="194"/>
      <c r="I402" s="32"/>
      <c r="J402" s="32"/>
      <c r="K402" s="32"/>
      <c r="L402" s="190"/>
      <c r="M402" s="32"/>
      <c r="N402" s="32"/>
      <c r="O402" s="172"/>
      <c r="P402" s="17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</row>
    <row r="403" spans="1:33">
      <c r="A403" s="24">
        <v>6</v>
      </c>
      <c r="B403" s="66">
        <v>67</v>
      </c>
      <c r="C403" s="78" t="s">
        <v>1300</v>
      </c>
      <c r="D403" s="78" t="s">
        <v>1301</v>
      </c>
      <c r="E403" s="78"/>
      <c r="F403" s="78">
        <v>223</v>
      </c>
      <c r="G403" s="78" t="s">
        <v>1302</v>
      </c>
      <c r="H403" s="280"/>
      <c r="I403" s="78" t="s">
        <v>1000</v>
      </c>
      <c r="J403" s="78"/>
      <c r="K403" s="78" t="s">
        <v>1000</v>
      </c>
      <c r="L403" s="209" t="s">
        <v>380</v>
      </c>
      <c r="M403" s="66" t="s">
        <v>1303</v>
      </c>
      <c r="N403" s="32"/>
      <c r="O403" s="71">
        <v>131244</v>
      </c>
      <c r="P403" s="71"/>
      <c r="Q403" s="94">
        <f>131244-131224</f>
        <v>20</v>
      </c>
      <c r="R403" s="94"/>
      <c r="S403" s="94" t="s">
        <v>1304</v>
      </c>
      <c r="T403" s="94" t="s">
        <v>1305</v>
      </c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96"/>
      <c r="AF403" s="32"/>
      <c r="AG403" s="32"/>
    </row>
    <row r="404" spans="1:33">
      <c r="B404" s="111"/>
      <c r="C404" s="32"/>
      <c r="D404" s="32"/>
      <c r="E404" s="32"/>
      <c r="F404" s="32"/>
      <c r="G404" s="78"/>
      <c r="H404" s="194"/>
      <c r="I404" s="32"/>
      <c r="J404" s="32"/>
      <c r="K404" s="32"/>
      <c r="L404" s="190"/>
      <c r="M404" s="32"/>
      <c r="N404" s="32"/>
      <c r="O404" s="60"/>
      <c r="P404" s="17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</row>
    <row r="405" spans="1:33">
      <c r="B405" s="111"/>
      <c r="C405" s="36" t="s">
        <v>1306</v>
      </c>
      <c r="D405" s="36"/>
      <c r="E405" s="36"/>
      <c r="F405" s="32"/>
      <c r="G405" s="78"/>
      <c r="H405" s="194"/>
      <c r="I405" s="32"/>
      <c r="J405" s="32"/>
      <c r="K405" s="32"/>
      <c r="L405" s="190"/>
      <c r="M405" s="32"/>
      <c r="N405" s="32"/>
      <c r="O405" s="172"/>
      <c r="P405" s="17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</row>
    <row r="406" spans="1:33">
      <c r="A406" s="24">
        <v>7</v>
      </c>
      <c r="B406" s="66">
        <v>68</v>
      </c>
      <c r="C406" s="78" t="s">
        <v>1307</v>
      </c>
      <c r="D406" s="78" t="s">
        <v>1308</v>
      </c>
      <c r="E406" s="78"/>
      <c r="F406" s="78">
        <v>413</v>
      </c>
      <c r="G406" s="78" t="s">
        <v>1309</v>
      </c>
      <c r="H406" s="280"/>
      <c r="I406" s="78" t="s">
        <v>305</v>
      </c>
      <c r="J406" s="78" t="s">
        <v>1310</v>
      </c>
      <c r="K406" s="78" t="s">
        <v>305</v>
      </c>
      <c r="L406" s="209" t="s">
        <v>380</v>
      </c>
      <c r="M406" s="66" t="s">
        <v>1311</v>
      </c>
      <c r="N406" s="32"/>
      <c r="O406" s="71">
        <v>61419</v>
      </c>
      <c r="P406" s="71"/>
      <c r="Q406" s="94">
        <v>11229</v>
      </c>
      <c r="R406" s="94"/>
      <c r="S406" s="94" t="s">
        <v>1312</v>
      </c>
      <c r="T406" s="94" t="s">
        <v>760</v>
      </c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96"/>
      <c r="AF406" s="32"/>
      <c r="AG406" s="32"/>
    </row>
    <row r="407" spans="1:33">
      <c r="B407" s="111"/>
      <c r="C407" s="32"/>
      <c r="D407" s="32"/>
      <c r="E407" s="32"/>
      <c r="F407" s="32"/>
      <c r="G407" s="32"/>
      <c r="H407" s="196"/>
      <c r="I407" s="32"/>
      <c r="J407" s="32"/>
      <c r="K407" s="32"/>
      <c r="L407" s="190"/>
      <c r="M407" s="32"/>
      <c r="N407" s="32"/>
      <c r="O407" s="60"/>
      <c r="P407" s="17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</row>
    <row r="408" spans="1:33">
      <c r="B408" s="111"/>
      <c r="C408" s="36" t="s">
        <v>1313</v>
      </c>
      <c r="D408" s="36"/>
      <c r="E408" s="36"/>
      <c r="F408" s="32"/>
      <c r="G408" s="32"/>
      <c r="H408" s="196"/>
      <c r="I408" s="32"/>
      <c r="J408" s="32"/>
      <c r="K408" s="32"/>
      <c r="L408" s="190"/>
      <c r="M408" s="32"/>
      <c r="N408" s="32"/>
      <c r="O408" s="172"/>
      <c r="P408" s="17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</row>
    <row r="409" spans="1:33">
      <c r="A409" s="24">
        <v>15</v>
      </c>
      <c r="B409" s="66">
        <v>69</v>
      </c>
      <c r="C409" s="78" t="s">
        <v>1314</v>
      </c>
      <c r="D409" s="78" t="s">
        <v>1315</v>
      </c>
      <c r="E409" s="78"/>
      <c r="F409" s="78">
        <v>338</v>
      </c>
      <c r="G409" s="78" t="s">
        <v>1242</v>
      </c>
      <c r="H409" s="280"/>
      <c r="I409" s="78" t="s">
        <v>1057</v>
      </c>
      <c r="J409" s="78" t="s">
        <v>1316</v>
      </c>
      <c r="K409" s="78" t="s">
        <v>1057</v>
      </c>
      <c r="L409" s="209" t="s">
        <v>350</v>
      </c>
      <c r="M409" s="66" t="s">
        <v>1317</v>
      </c>
      <c r="N409" s="32"/>
      <c r="O409" s="71">
        <v>228838</v>
      </c>
      <c r="P409" s="71"/>
      <c r="Q409" s="66"/>
      <c r="R409" s="66"/>
      <c r="S409" s="66" t="s">
        <v>1318</v>
      </c>
      <c r="T409" s="66" t="s">
        <v>1319</v>
      </c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96"/>
      <c r="AF409" s="32"/>
      <c r="AG409" s="32"/>
    </row>
    <row r="410" spans="1:33">
      <c r="B410" s="111"/>
      <c r="C410" s="32"/>
      <c r="D410" s="32"/>
      <c r="E410" s="32"/>
      <c r="F410" s="32"/>
      <c r="G410" s="32"/>
      <c r="H410" s="196"/>
      <c r="I410" s="32"/>
      <c r="J410" s="32"/>
      <c r="K410" s="32"/>
      <c r="L410" s="32"/>
      <c r="M410" s="190"/>
      <c r="N410" s="32"/>
      <c r="O410" s="60"/>
      <c r="P410" s="17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</row>
    <row r="411" spans="1:33">
      <c r="B411" s="111"/>
      <c r="C411" s="36" t="s">
        <v>1320</v>
      </c>
      <c r="D411" s="32"/>
      <c r="E411" s="32"/>
      <c r="F411" s="32"/>
      <c r="G411" s="32"/>
      <c r="H411" s="196"/>
      <c r="I411" s="32"/>
      <c r="J411" s="32"/>
      <c r="K411" s="32"/>
      <c r="L411" s="32"/>
      <c r="M411" s="190"/>
      <c r="N411" s="32"/>
      <c r="O411" s="32"/>
      <c r="P411" s="17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</row>
    <row r="412" spans="1:33">
      <c r="A412" s="24">
        <v>8</v>
      </c>
      <c r="B412" s="66">
        <v>70</v>
      </c>
      <c r="C412" s="78" t="s">
        <v>1321</v>
      </c>
      <c r="D412" s="78" t="s">
        <v>1322</v>
      </c>
      <c r="E412" s="78"/>
      <c r="F412" s="66">
        <v>49</v>
      </c>
      <c r="G412" s="66" t="s">
        <v>1302</v>
      </c>
      <c r="H412" s="280"/>
      <c r="I412" s="66" t="s">
        <v>1000</v>
      </c>
      <c r="J412" s="66" t="s">
        <v>1323</v>
      </c>
      <c r="K412" s="66" t="s">
        <v>1000</v>
      </c>
      <c r="L412" s="66" t="s">
        <v>380</v>
      </c>
      <c r="M412" s="93" t="s">
        <v>1324</v>
      </c>
      <c r="N412" s="32"/>
      <c r="O412" s="94">
        <v>80445</v>
      </c>
      <c r="P412" s="71"/>
      <c r="Q412" s="94"/>
      <c r="R412" s="94" t="s">
        <v>323</v>
      </c>
      <c r="S412" s="94" t="s">
        <v>1325</v>
      </c>
      <c r="T412" s="78"/>
      <c r="U412" s="78"/>
      <c r="V412" s="143" t="s">
        <v>618</v>
      </c>
      <c r="W412" s="143"/>
      <c r="X412" s="78"/>
      <c r="Y412" s="78"/>
      <c r="Z412" s="78">
        <v>41026</v>
      </c>
      <c r="AA412" s="79">
        <v>36077</v>
      </c>
      <c r="AB412" s="78">
        <v>705</v>
      </c>
      <c r="AC412" s="80">
        <v>36091</v>
      </c>
      <c r="AD412" s="75"/>
      <c r="AE412" s="75"/>
      <c r="AF412" s="32"/>
      <c r="AG412" s="32"/>
    </row>
    <row r="413" spans="1:33">
      <c r="B413" s="111"/>
      <c r="C413" s="32"/>
      <c r="D413" s="32"/>
      <c r="E413" s="32"/>
      <c r="F413" s="32"/>
      <c r="G413" s="32"/>
      <c r="H413" s="196"/>
      <c r="I413" s="32"/>
      <c r="J413" s="32"/>
      <c r="K413" s="32"/>
      <c r="L413" s="32"/>
      <c r="M413" s="190"/>
      <c r="N413" s="32"/>
      <c r="O413" s="32"/>
      <c r="P413" s="17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</row>
    <row r="414" spans="1:33">
      <c r="B414" s="111"/>
      <c r="C414" s="36" t="s">
        <v>1326</v>
      </c>
      <c r="D414" s="32"/>
      <c r="E414" s="32"/>
      <c r="F414" s="32"/>
      <c r="G414" s="32"/>
      <c r="H414" s="196"/>
      <c r="I414" s="32"/>
      <c r="J414" s="32"/>
      <c r="K414" s="32"/>
      <c r="L414" s="32"/>
      <c r="M414" s="190"/>
      <c r="N414" s="32"/>
      <c r="O414" s="32"/>
      <c r="P414" s="17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</row>
    <row r="415" spans="1:33">
      <c r="A415" s="24">
        <v>16</v>
      </c>
      <c r="B415" s="66">
        <v>71</v>
      </c>
      <c r="C415" s="78" t="s">
        <v>1327</v>
      </c>
      <c r="D415" s="78" t="s">
        <v>1328</v>
      </c>
      <c r="E415" s="78"/>
      <c r="F415" s="66">
        <v>59</v>
      </c>
      <c r="G415" s="66" t="s">
        <v>1329</v>
      </c>
      <c r="H415" s="280"/>
      <c r="I415" s="66" t="s">
        <v>436</v>
      </c>
      <c r="J415" s="66" t="s">
        <v>1330</v>
      </c>
      <c r="K415" s="66" t="s">
        <v>436</v>
      </c>
      <c r="L415" s="66" t="s">
        <v>259</v>
      </c>
      <c r="M415" s="93">
        <v>17295.900000000001</v>
      </c>
      <c r="N415" s="32"/>
      <c r="O415" s="94">
        <v>172959</v>
      </c>
      <c r="P415" s="71"/>
      <c r="Q415" s="66"/>
      <c r="R415" s="66" t="s">
        <v>292</v>
      </c>
      <c r="S415" s="66" t="s">
        <v>809</v>
      </c>
      <c r="T415" s="78"/>
      <c r="U415" s="78"/>
      <c r="V415" s="78"/>
      <c r="W415" s="78"/>
      <c r="X415" s="78"/>
      <c r="Y415" s="78"/>
      <c r="Z415" s="78"/>
      <c r="AA415" s="78"/>
      <c r="AB415" s="78"/>
      <c r="AC415" s="96"/>
      <c r="AD415" s="92"/>
      <c r="AE415" s="92"/>
      <c r="AF415" s="32"/>
      <c r="AG415" s="32"/>
    </row>
    <row r="416" spans="1:33">
      <c r="B416" s="111"/>
      <c r="C416" s="32"/>
      <c r="D416" s="32"/>
      <c r="E416" s="32"/>
      <c r="F416" s="32"/>
      <c r="G416" s="32"/>
      <c r="H416" s="196"/>
      <c r="I416" s="32"/>
      <c r="J416" s="32"/>
      <c r="K416" s="32"/>
      <c r="L416" s="32"/>
      <c r="M416" s="190"/>
      <c r="N416" s="32"/>
      <c r="O416" s="32"/>
      <c r="P416" s="17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</row>
    <row r="417" spans="1:33">
      <c r="B417" s="111"/>
      <c r="C417" s="36" t="s">
        <v>1331</v>
      </c>
      <c r="D417" s="32"/>
      <c r="E417" s="32"/>
      <c r="F417" s="32"/>
      <c r="G417" s="32"/>
      <c r="H417" s="196"/>
      <c r="I417" s="32"/>
      <c r="J417" s="32"/>
      <c r="K417" s="32"/>
      <c r="L417" s="32"/>
      <c r="M417" s="190"/>
      <c r="N417" s="32"/>
      <c r="O417" s="32"/>
      <c r="P417" s="17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</row>
    <row r="418" spans="1:33">
      <c r="A418" s="24">
        <v>9</v>
      </c>
      <c r="B418" s="66">
        <v>72</v>
      </c>
      <c r="C418" s="78" t="s">
        <v>1332</v>
      </c>
      <c r="D418" s="78" t="s">
        <v>1333</v>
      </c>
      <c r="E418" s="78"/>
      <c r="F418" s="66">
        <v>16</v>
      </c>
      <c r="G418" s="66" t="s">
        <v>1334</v>
      </c>
      <c r="H418" s="280"/>
      <c r="I418" s="66" t="s">
        <v>232</v>
      </c>
      <c r="J418" s="66" t="s">
        <v>1335</v>
      </c>
      <c r="K418" s="66" t="s">
        <v>232</v>
      </c>
      <c r="L418" s="66" t="s">
        <v>233</v>
      </c>
      <c r="M418" s="93">
        <v>7073.8</v>
      </c>
      <c r="N418" s="32"/>
      <c r="O418" s="94">
        <v>70738</v>
      </c>
      <c r="P418" s="71"/>
      <c r="Q418" s="94"/>
      <c r="R418" s="94" t="s">
        <v>323</v>
      </c>
      <c r="S418" s="94"/>
      <c r="T418" s="78"/>
      <c r="U418" s="78"/>
      <c r="V418" s="78"/>
      <c r="W418" s="78"/>
      <c r="X418" s="78"/>
      <c r="Y418" s="78"/>
      <c r="Z418" s="78">
        <v>28295</v>
      </c>
      <c r="AA418" s="79">
        <v>35944</v>
      </c>
      <c r="AB418" s="78">
        <v>393</v>
      </c>
      <c r="AC418" s="80">
        <v>35976</v>
      </c>
      <c r="AD418" s="75"/>
      <c r="AE418" s="75"/>
      <c r="AF418" s="32"/>
      <c r="AG418" s="32"/>
    </row>
    <row r="419" spans="1:33">
      <c r="B419" s="111"/>
      <c r="C419" s="32"/>
      <c r="D419" s="32"/>
      <c r="E419" s="32"/>
      <c r="F419" s="32"/>
      <c r="G419" s="32"/>
      <c r="H419" s="196"/>
      <c r="I419" s="32"/>
      <c r="J419" s="32"/>
      <c r="K419" s="32"/>
      <c r="L419" s="32"/>
      <c r="M419" s="190"/>
      <c r="N419" s="32"/>
      <c r="O419" s="32"/>
      <c r="P419" s="17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</row>
    <row r="420" spans="1:33">
      <c r="B420" s="111"/>
      <c r="C420" s="36" t="s">
        <v>1336</v>
      </c>
      <c r="D420" s="32"/>
      <c r="E420" s="32"/>
      <c r="F420" s="32"/>
      <c r="G420" s="32"/>
      <c r="H420" s="196"/>
      <c r="I420" s="32"/>
      <c r="J420" s="32"/>
      <c r="K420" s="32"/>
      <c r="L420" s="32"/>
      <c r="M420" s="190"/>
      <c r="N420" s="32"/>
      <c r="O420" s="32"/>
      <c r="P420" s="17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</row>
    <row r="421" spans="1:33">
      <c r="A421" s="24">
        <v>10</v>
      </c>
      <c r="B421" s="66">
        <v>73</v>
      </c>
      <c r="C421" s="78" t="s">
        <v>1337</v>
      </c>
      <c r="D421" s="78" t="s">
        <v>1338</v>
      </c>
      <c r="E421" s="78"/>
      <c r="F421" s="66">
        <v>1</v>
      </c>
      <c r="G421" s="66" t="s">
        <v>1339</v>
      </c>
      <c r="H421" s="280"/>
      <c r="I421" s="66" t="s">
        <v>232</v>
      </c>
      <c r="J421" s="66" t="s">
        <v>173</v>
      </c>
      <c r="K421" s="66" t="s">
        <v>232</v>
      </c>
      <c r="L421" s="66" t="s">
        <v>350</v>
      </c>
      <c r="M421" s="93">
        <v>7161.5</v>
      </c>
      <c r="N421" s="32"/>
      <c r="O421" s="94">
        <v>71615</v>
      </c>
      <c r="P421" s="71"/>
      <c r="Q421" s="66"/>
      <c r="R421" s="66" t="s">
        <v>292</v>
      </c>
      <c r="S421" s="66"/>
      <c r="T421" s="78"/>
      <c r="U421" s="78"/>
      <c r="V421" s="78"/>
      <c r="W421" s="78"/>
      <c r="X421" s="78"/>
      <c r="Y421" s="78"/>
      <c r="Z421" s="78"/>
      <c r="AA421" s="78"/>
      <c r="AB421" s="78"/>
      <c r="AC421" s="96"/>
      <c r="AD421" s="92"/>
      <c r="AE421" s="92"/>
      <c r="AF421" s="32"/>
      <c r="AG421" s="32"/>
    </row>
    <row r="422" spans="1:33">
      <c r="B422" s="111"/>
      <c r="C422" s="32"/>
      <c r="D422" s="32"/>
      <c r="E422" s="32"/>
      <c r="F422" s="32"/>
      <c r="G422" s="32"/>
      <c r="H422" s="196"/>
      <c r="I422" s="32"/>
      <c r="J422" s="32"/>
      <c r="K422" s="32"/>
      <c r="L422" s="32"/>
      <c r="M422" s="190"/>
      <c r="N422" s="32"/>
      <c r="O422" s="32"/>
      <c r="P422" s="17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</row>
    <row r="423" spans="1:33">
      <c r="B423" s="111"/>
      <c r="C423" s="36" t="s">
        <v>1340</v>
      </c>
      <c r="D423" s="32"/>
      <c r="E423" s="32"/>
      <c r="F423" s="32"/>
      <c r="G423" s="32"/>
      <c r="H423" s="196"/>
      <c r="I423" s="32"/>
      <c r="J423" s="32"/>
      <c r="K423" s="32"/>
      <c r="L423" s="32"/>
      <c r="M423" s="190"/>
      <c r="N423" s="32"/>
      <c r="O423" s="32"/>
      <c r="P423" s="17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</row>
    <row r="424" spans="1:33">
      <c r="A424" s="24">
        <v>1</v>
      </c>
      <c r="B424" s="66">
        <v>74</v>
      </c>
      <c r="C424" s="78" t="s">
        <v>1341</v>
      </c>
      <c r="D424" s="78" t="s">
        <v>1342</v>
      </c>
      <c r="E424" s="78"/>
      <c r="F424" s="66">
        <v>237</v>
      </c>
      <c r="G424" s="66" t="s">
        <v>1343</v>
      </c>
      <c r="H424" s="280"/>
      <c r="I424" s="66" t="s">
        <v>296</v>
      </c>
      <c r="J424" s="66" t="s">
        <v>1344</v>
      </c>
      <c r="K424" s="66" t="s">
        <v>296</v>
      </c>
      <c r="L424" s="66" t="s">
        <v>380</v>
      </c>
      <c r="M424" s="93">
        <v>20804.2</v>
      </c>
      <c r="N424" s="32"/>
      <c r="O424" s="94">
        <v>208042</v>
      </c>
      <c r="P424" s="71"/>
      <c r="Q424" s="66"/>
      <c r="R424" s="66" t="s">
        <v>297</v>
      </c>
      <c r="S424" s="66" t="s">
        <v>1345</v>
      </c>
      <c r="T424" s="78"/>
      <c r="U424" s="78"/>
      <c r="V424" s="78"/>
      <c r="W424" s="78"/>
      <c r="X424" s="78"/>
      <c r="Y424" s="78"/>
      <c r="Z424" s="78"/>
      <c r="AA424" s="78"/>
      <c r="AB424" s="78"/>
      <c r="AC424" s="96"/>
      <c r="AD424" s="92"/>
      <c r="AE424" s="92"/>
      <c r="AF424" s="32"/>
      <c r="AG424" s="32"/>
    </row>
    <row r="425" spans="1:33">
      <c r="B425" s="111"/>
      <c r="C425" s="32"/>
      <c r="D425" s="32"/>
      <c r="E425" s="32"/>
      <c r="F425" s="32"/>
      <c r="G425" s="32"/>
      <c r="H425" s="196"/>
      <c r="I425" s="32"/>
      <c r="J425" s="32"/>
      <c r="K425" s="32"/>
      <c r="L425" s="32"/>
      <c r="M425" s="190"/>
      <c r="N425" s="32"/>
      <c r="O425" s="32"/>
      <c r="P425" s="17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</row>
    <row r="426" spans="1:33">
      <c r="B426" s="111"/>
      <c r="C426" s="36" t="s">
        <v>1346</v>
      </c>
      <c r="D426" s="32"/>
      <c r="E426" s="32"/>
      <c r="F426" s="32"/>
      <c r="G426" s="32"/>
      <c r="H426" s="196"/>
      <c r="I426" s="32"/>
      <c r="J426" s="32"/>
      <c r="K426" s="32"/>
      <c r="L426" s="32"/>
      <c r="M426" s="190"/>
      <c r="N426" s="32"/>
      <c r="O426" s="32"/>
      <c r="P426" s="17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</row>
    <row r="427" spans="1:33">
      <c r="A427" s="24">
        <v>2</v>
      </c>
      <c r="B427" s="66">
        <v>75</v>
      </c>
      <c r="C427" s="78" t="s">
        <v>1347</v>
      </c>
      <c r="D427" s="78" t="s">
        <v>1348</v>
      </c>
      <c r="E427" s="78"/>
      <c r="F427" s="66">
        <v>192</v>
      </c>
      <c r="G427" s="66" t="s">
        <v>1349</v>
      </c>
      <c r="H427" s="280"/>
      <c r="I427" s="66" t="s">
        <v>422</v>
      </c>
      <c r="J427" s="66" t="s">
        <v>1350</v>
      </c>
      <c r="K427" s="66" t="s">
        <v>422</v>
      </c>
      <c r="L427" s="66" t="s">
        <v>380</v>
      </c>
      <c r="M427" s="93">
        <v>9576.7999999999993</v>
      </c>
      <c r="N427" s="32"/>
      <c r="O427" s="94">
        <v>95768</v>
      </c>
      <c r="P427" s="71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</row>
    <row r="428" spans="1:33">
      <c r="B428" s="111"/>
      <c r="C428" s="32"/>
      <c r="D428" s="32"/>
      <c r="E428" s="32"/>
      <c r="F428" s="32"/>
      <c r="G428" s="32"/>
      <c r="H428" s="196"/>
      <c r="I428" s="32"/>
      <c r="J428" s="32"/>
      <c r="K428" s="32"/>
      <c r="L428" s="32"/>
      <c r="M428" s="190"/>
      <c r="N428" s="32"/>
      <c r="O428" s="32"/>
      <c r="P428" s="17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</row>
    <row r="429" spans="1:33">
      <c r="B429" s="111"/>
      <c r="C429" s="36" t="s">
        <v>1351</v>
      </c>
      <c r="D429" s="32"/>
      <c r="E429" s="32"/>
      <c r="F429" s="32"/>
      <c r="G429" s="32"/>
      <c r="H429" s="196"/>
      <c r="I429" s="32"/>
      <c r="J429" s="32"/>
      <c r="K429" s="32"/>
      <c r="L429" s="32"/>
      <c r="M429" s="190"/>
      <c r="N429" s="32"/>
      <c r="O429" s="32"/>
      <c r="P429" s="17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</row>
    <row r="430" spans="1:33">
      <c r="A430" s="24">
        <v>3</v>
      </c>
      <c r="B430" s="66">
        <v>76</v>
      </c>
      <c r="C430" s="78" t="s">
        <v>1352</v>
      </c>
      <c r="D430" s="78" t="s">
        <v>1353</v>
      </c>
      <c r="E430" s="78"/>
      <c r="F430" s="66">
        <v>105</v>
      </c>
      <c r="G430" s="66" t="s">
        <v>1354</v>
      </c>
      <c r="H430" s="280"/>
      <c r="I430" s="66" t="s">
        <v>304</v>
      </c>
      <c r="J430" s="66" t="s">
        <v>1355</v>
      </c>
      <c r="K430" s="66" t="s">
        <v>304</v>
      </c>
      <c r="L430" s="66" t="s">
        <v>245</v>
      </c>
      <c r="M430" s="93">
        <v>8504.6</v>
      </c>
      <c r="N430" s="32"/>
      <c r="O430" s="94">
        <v>85046</v>
      </c>
      <c r="P430" s="71"/>
      <c r="Q430" s="94"/>
      <c r="R430" s="94" t="s">
        <v>306</v>
      </c>
      <c r="S430" s="94" t="s">
        <v>669</v>
      </c>
      <c r="T430" s="78">
        <v>30956.7</v>
      </c>
      <c r="U430" s="78"/>
      <c r="V430" s="78"/>
      <c r="W430" s="78"/>
      <c r="X430" s="78"/>
      <c r="Y430" s="78"/>
      <c r="Z430" s="78">
        <v>43373</v>
      </c>
      <c r="AA430" s="79">
        <v>36006</v>
      </c>
      <c r="AB430" s="78">
        <v>554</v>
      </c>
      <c r="AC430" s="80">
        <v>36013</v>
      </c>
      <c r="AD430" s="75"/>
      <c r="AE430" s="75"/>
      <c r="AF430" s="32"/>
      <c r="AG430" s="32"/>
    </row>
    <row r="431" spans="1:33">
      <c r="B431" s="111"/>
      <c r="C431" s="32"/>
      <c r="D431" s="32"/>
      <c r="E431" s="32"/>
      <c r="F431" s="32"/>
      <c r="G431" s="66"/>
      <c r="H431" s="194"/>
      <c r="I431" s="32"/>
      <c r="J431" s="32"/>
      <c r="K431" s="32"/>
      <c r="L431" s="32"/>
      <c r="M431" s="190"/>
      <c r="N431" s="32"/>
      <c r="O431" s="32"/>
      <c r="P431" s="17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</row>
    <row r="432" spans="1:33">
      <c r="B432" s="111"/>
      <c r="C432" s="36" t="s">
        <v>1356</v>
      </c>
      <c r="D432" s="32"/>
      <c r="E432" s="32"/>
      <c r="F432" s="32"/>
      <c r="G432" s="66"/>
      <c r="H432" s="194"/>
      <c r="I432" s="32"/>
      <c r="J432" s="32"/>
      <c r="K432" s="32"/>
      <c r="L432" s="32"/>
      <c r="M432" s="190"/>
      <c r="N432" s="32"/>
      <c r="O432" s="32"/>
      <c r="P432" s="17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</row>
    <row r="433" spans="1:33">
      <c r="A433" s="24">
        <v>4</v>
      </c>
      <c r="B433" s="66">
        <v>77</v>
      </c>
      <c r="C433" s="78" t="s">
        <v>1357</v>
      </c>
      <c r="D433" s="78" t="s">
        <v>1358</v>
      </c>
      <c r="E433" s="78"/>
      <c r="F433" s="66">
        <v>404</v>
      </c>
      <c r="G433" s="66" t="s">
        <v>1359</v>
      </c>
      <c r="H433" s="280"/>
      <c r="I433" s="66" t="s">
        <v>436</v>
      </c>
      <c r="J433" s="66" t="s">
        <v>1360</v>
      </c>
      <c r="K433" s="66" t="s">
        <v>436</v>
      </c>
      <c r="L433" s="66" t="s">
        <v>380</v>
      </c>
      <c r="M433" s="93">
        <v>11916.1</v>
      </c>
      <c r="N433" s="32"/>
      <c r="O433" s="94">
        <v>119161</v>
      </c>
      <c r="P433" s="71"/>
      <c r="Q433" s="94"/>
      <c r="R433" s="94" t="s">
        <v>496</v>
      </c>
      <c r="S433" s="94" t="s">
        <v>1361</v>
      </c>
      <c r="T433" s="78"/>
      <c r="U433" s="78"/>
      <c r="V433" s="78"/>
      <c r="W433" s="78"/>
      <c r="X433" s="78"/>
      <c r="Y433" s="78"/>
      <c r="Z433" s="78">
        <v>29790</v>
      </c>
      <c r="AA433" s="79">
        <v>35951</v>
      </c>
      <c r="AB433" s="78">
        <v>410</v>
      </c>
      <c r="AC433" s="80">
        <v>35961</v>
      </c>
      <c r="AD433" s="75"/>
      <c r="AE433" s="75"/>
      <c r="AF433" s="32"/>
      <c r="AG433" s="32"/>
    </row>
    <row r="434" spans="1:33">
      <c r="B434" s="111"/>
      <c r="C434" s="32"/>
      <c r="D434" s="32"/>
      <c r="E434" s="32"/>
      <c r="F434" s="32"/>
      <c r="G434" s="66"/>
      <c r="H434" s="194"/>
      <c r="I434" s="32"/>
      <c r="J434" s="32"/>
      <c r="K434" s="32"/>
      <c r="L434" s="32"/>
      <c r="M434" s="190"/>
      <c r="N434" s="32"/>
      <c r="O434" s="32"/>
      <c r="P434" s="17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</row>
    <row r="435" spans="1:33">
      <c r="B435" s="111"/>
      <c r="C435" s="36" t="s">
        <v>1362</v>
      </c>
      <c r="D435" s="32"/>
      <c r="E435" s="32"/>
      <c r="F435" s="32"/>
      <c r="G435" s="66"/>
      <c r="H435" s="194"/>
      <c r="I435" s="32"/>
      <c r="J435" s="32"/>
      <c r="K435" s="32"/>
      <c r="L435" s="32"/>
      <c r="M435" s="190"/>
      <c r="N435" s="32"/>
      <c r="O435" s="32"/>
      <c r="P435" s="17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</row>
    <row r="436" spans="1:33">
      <c r="A436" s="24">
        <v>5</v>
      </c>
      <c r="B436" s="66">
        <v>78</v>
      </c>
      <c r="C436" s="78" t="s">
        <v>1363</v>
      </c>
      <c r="D436" s="78" t="s">
        <v>1364</v>
      </c>
      <c r="E436" s="78"/>
      <c r="F436" s="66">
        <v>87</v>
      </c>
      <c r="G436" s="66" t="s">
        <v>1359</v>
      </c>
      <c r="H436" s="280"/>
      <c r="I436" s="66" t="s">
        <v>328</v>
      </c>
      <c r="J436" s="66" t="s">
        <v>1365</v>
      </c>
      <c r="K436" s="66" t="s">
        <v>328</v>
      </c>
      <c r="L436" s="66" t="s">
        <v>259</v>
      </c>
      <c r="M436" s="93">
        <v>9734.9</v>
      </c>
      <c r="N436" s="32"/>
      <c r="O436" s="94">
        <v>97349</v>
      </c>
      <c r="P436" s="71"/>
      <c r="Q436" s="66"/>
      <c r="R436" s="66" t="s">
        <v>292</v>
      </c>
      <c r="S436" s="66" t="s">
        <v>1366</v>
      </c>
      <c r="T436" s="78">
        <v>265764.59999999998</v>
      </c>
      <c r="U436" s="78"/>
      <c r="V436" s="78"/>
      <c r="W436" s="78"/>
      <c r="X436" s="78"/>
      <c r="Y436" s="78"/>
      <c r="Z436" s="78"/>
      <c r="AA436" s="78"/>
      <c r="AB436" s="78"/>
      <c r="AC436" s="96"/>
      <c r="AD436" s="92"/>
      <c r="AE436" s="92"/>
      <c r="AF436" s="32"/>
      <c r="AG436" s="32"/>
    </row>
    <row r="437" spans="1:33">
      <c r="B437" s="111"/>
      <c r="C437" s="32"/>
      <c r="D437" s="32"/>
      <c r="E437" s="32"/>
      <c r="F437" s="32"/>
      <c r="G437" s="66"/>
      <c r="H437" s="194"/>
      <c r="I437" s="32"/>
      <c r="J437" s="32"/>
      <c r="K437" s="32"/>
      <c r="L437" s="32"/>
      <c r="M437" s="190"/>
      <c r="N437" s="32"/>
      <c r="O437" s="32"/>
      <c r="P437" s="17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</row>
    <row r="438" spans="1:33">
      <c r="B438" s="111"/>
      <c r="C438" s="36" t="s">
        <v>1367</v>
      </c>
      <c r="D438" s="32"/>
      <c r="E438" s="32"/>
      <c r="F438" s="32"/>
      <c r="G438" s="66"/>
      <c r="H438" s="194"/>
      <c r="I438" s="32"/>
      <c r="J438" s="32"/>
      <c r="K438" s="32"/>
      <c r="L438" s="32"/>
      <c r="M438" s="190"/>
      <c r="N438" s="32"/>
      <c r="O438" s="32"/>
      <c r="P438" s="17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</row>
    <row r="439" spans="1:33">
      <c r="A439" s="24">
        <v>6</v>
      </c>
      <c r="B439" s="66">
        <v>79</v>
      </c>
      <c r="C439" s="78" t="s">
        <v>1368</v>
      </c>
      <c r="D439" s="78" t="s">
        <v>1369</v>
      </c>
      <c r="E439" s="78"/>
      <c r="F439" s="66">
        <v>57</v>
      </c>
      <c r="G439" s="66" t="s">
        <v>1359</v>
      </c>
      <c r="H439" s="280"/>
      <c r="I439" s="66" t="s">
        <v>232</v>
      </c>
      <c r="J439" s="66" t="s">
        <v>1370</v>
      </c>
      <c r="K439" s="66" t="s">
        <v>232</v>
      </c>
      <c r="L439" s="66" t="s">
        <v>233</v>
      </c>
      <c r="M439" s="93">
        <v>5114.8999999999996</v>
      </c>
      <c r="N439" s="32"/>
      <c r="O439" s="94">
        <v>51149</v>
      </c>
      <c r="P439" s="71"/>
      <c r="Q439" s="94"/>
      <c r="R439" s="94" t="s">
        <v>292</v>
      </c>
      <c r="S439" s="94"/>
      <c r="T439" s="78">
        <v>33770.699999999997</v>
      </c>
      <c r="U439" s="78"/>
      <c r="V439" s="78"/>
      <c r="W439" s="78"/>
      <c r="X439" s="78"/>
      <c r="Y439" s="78"/>
      <c r="Z439" s="78">
        <v>26085</v>
      </c>
      <c r="AA439" s="79">
        <v>36077</v>
      </c>
      <c r="AB439" s="78">
        <v>704</v>
      </c>
      <c r="AC439" s="80">
        <v>36090</v>
      </c>
      <c r="AD439" s="75"/>
      <c r="AE439" s="75"/>
      <c r="AF439" s="32"/>
      <c r="AG439" s="32"/>
    </row>
    <row r="440" spans="1:33">
      <c r="B440" s="111"/>
      <c r="C440" s="32"/>
      <c r="D440" s="32"/>
      <c r="E440" s="32"/>
      <c r="F440" s="32"/>
      <c r="G440" s="66"/>
      <c r="H440" s="194"/>
      <c r="I440" s="32"/>
      <c r="J440" s="32"/>
      <c r="K440" s="32"/>
      <c r="L440" s="32"/>
      <c r="M440" s="190"/>
      <c r="N440" s="32"/>
      <c r="O440" s="32"/>
      <c r="P440" s="17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</row>
    <row r="441" spans="1:33">
      <c r="B441" s="111"/>
      <c r="C441" s="36" t="s">
        <v>1371</v>
      </c>
      <c r="D441" s="32"/>
      <c r="E441" s="32"/>
      <c r="F441" s="32"/>
      <c r="G441" s="66"/>
      <c r="H441" s="194"/>
      <c r="I441" s="32"/>
      <c r="J441" s="32"/>
      <c r="K441" s="32"/>
      <c r="L441" s="32"/>
      <c r="M441" s="190"/>
      <c r="N441" s="32"/>
      <c r="O441" s="32"/>
      <c r="P441" s="17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</row>
    <row r="442" spans="1:33">
      <c r="A442" s="24">
        <v>7</v>
      </c>
      <c r="B442" s="66">
        <v>80</v>
      </c>
      <c r="C442" s="78" t="s">
        <v>1372</v>
      </c>
      <c r="D442" s="78"/>
      <c r="E442" s="78"/>
      <c r="F442" s="66">
        <v>72</v>
      </c>
      <c r="G442" s="66" t="s">
        <v>1359</v>
      </c>
      <c r="H442" s="280"/>
      <c r="I442" s="66" t="s">
        <v>232</v>
      </c>
      <c r="J442" s="66" t="s">
        <v>1373</v>
      </c>
      <c r="K442" s="66" t="s">
        <v>232</v>
      </c>
      <c r="L442" s="66" t="s">
        <v>233</v>
      </c>
      <c r="M442" s="93">
        <v>5191.2</v>
      </c>
      <c r="N442" s="32"/>
      <c r="O442" s="94">
        <v>51912</v>
      </c>
      <c r="P442" s="71"/>
      <c r="Q442" s="94"/>
      <c r="R442" s="94" t="s">
        <v>292</v>
      </c>
      <c r="S442" s="94" t="s">
        <v>1374</v>
      </c>
      <c r="T442" s="78"/>
      <c r="U442" s="78"/>
      <c r="V442" s="78"/>
      <c r="W442" s="78"/>
      <c r="X442" s="78"/>
      <c r="Y442" s="78"/>
      <c r="Z442" s="78">
        <v>26475</v>
      </c>
      <c r="AA442" s="79">
        <v>36048</v>
      </c>
      <c r="AB442" s="78">
        <v>635</v>
      </c>
      <c r="AC442" s="80">
        <v>36096</v>
      </c>
      <c r="AD442" s="75"/>
      <c r="AE442" s="75"/>
      <c r="AF442" s="32"/>
      <c r="AG442" s="32"/>
    </row>
    <row r="443" spans="1:33">
      <c r="B443" s="111"/>
      <c r="C443" s="32"/>
      <c r="D443" s="32"/>
      <c r="E443" s="32"/>
      <c r="F443" s="32"/>
      <c r="G443" s="66"/>
      <c r="H443" s="194"/>
      <c r="I443" s="32"/>
      <c r="J443" s="32"/>
      <c r="K443" s="32"/>
      <c r="L443" s="32"/>
      <c r="M443" s="190"/>
      <c r="N443" s="32"/>
      <c r="O443" s="32"/>
      <c r="P443" s="17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</row>
    <row r="444" spans="1:33">
      <c r="B444" s="111"/>
      <c r="C444" s="36" t="s">
        <v>1375</v>
      </c>
      <c r="D444" s="32"/>
      <c r="E444" s="32"/>
      <c r="F444" s="32"/>
      <c r="G444" s="66"/>
      <c r="H444" s="194"/>
      <c r="I444" s="32"/>
      <c r="J444" s="32"/>
      <c r="K444" s="32"/>
      <c r="L444" s="32"/>
      <c r="M444" s="190"/>
      <c r="N444" s="32"/>
      <c r="O444" s="32"/>
      <c r="P444" s="17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</row>
    <row r="445" spans="1:33">
      <c r="A445" s="24">
        <v>8</v>
      </c>
      <c r="B445" s="63">
        <v>81</v>
      </c>
      <c r="C445" s="163" t="s">
        <v>1376</v>
      </c>
      <c r="D445" s="163" t="s">
        <v>1377</v>
      </c>
      <c r="E445" s="163"/>
      <c r="F445" s="66">
        <v>302</v>
      </c>
      <c r="G445" s="66" t="s">
        <v>1378</v>
      </c>
      <c r="H445" s="280"/>
      <c r="I445" s="66" t="s">
        <v>286</v>
      </c>
      <c r="J445" s="66" t="s">
        <v>180</v>
      </c>
      <c r="K445" s="66" t="s">
        <v>286</v>
      </c>
      <c r="L445" s="66" t="s">
        <v>233</v>
      </c>
      <c r="M445" s="93">
        <v>14204</v>
      </c>
      <c r="N445" s="32"/>
      <c r="O445" s="94">
        <v>142040</v>
      </c>
      <c r="P445" s="71"/>
      <c r="Q445" s="66"/>
      <c r="R445" s="66" t="s">
        <v>677</v>
      </c>
      <c r="S445" s="66" t="s">
        <v>1379</v>
      </c>
      <c r="T445" s="78"/>
      <c r="U445" s="78"/>
      <c r="V445" s="78"/>
      <c r="W445" s="78"/>
      <c r="X445" s="78"/>
      <c r="Y445" s="78"/>
      <c r="Z445" s="78"/>
      <c r="AA445" s="78"/>
      <c r="AB445" s="78"/>
      <c r="AC445" s="96"/>
      <c r="AD445" s="92"/>
      <c r="AE445" s="92"/>
      <c r="AF445" s="32"/>
      <c r="AG445" s="32"/>
    </row>
    <row r="446" spans="1:33">
      <c r="B446" s="111"/>
      <c r="C446" s="32"/>
      <c r="D446" s="32"/>
      <c r="E446" s="32"/>
      <c r="F446" s="32"/>
      <c r="G446" s="66"/>
      <c r="H446" s="194"/>
      <c r="I446" s="32"/>
      <c r="J446" s="32"/>
      <c r="K446" s="32"/>
      <c r="L446" s="32"/>
      <c r="M446" s="190"/>
      <c r="N446" s="32"/>
      <c r="O446" s="32"/>
      <c r="P446" s="17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</row>
    <row r="447" spans="1:33">
      <c r="B447" s="111"/>
      <c r="C447" s="36" t="s">
        <v>1380</v>
      </c>
      <c r="D447" s="32"/>
      <c r="E447" s="32"/>
      <c r="F447" s="32"/>
      <c r="G447" s="66"/>
      <c r="H447" s="194"/>
      <c r="I447" s="32"/>
      <c r="J447" s="32"/>
      <c r="K447" s="32"/>
      <c r="L447" s="32"/>
      <c r="M447" s="190"/>
      <c r="N447" s="32"/>
      <c r="O447" s="32"/>
      <c r="P447" s="17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</row>
    <row r="448" spans="1:33">
      <c r="A448" s="24">
        <v>9</v>
      </c>
      <c r="B448" s="63">
        <v>82</v>
      </c>
      <c r="C448" s="163" t="s">
        <v>1381</v>
      </c>
      <c r="D448" s="163" t="s">
        <v>1382</v>
      </c>
      <c r="E448" s="163"/>
      <c r="F448" s="66">
        <v>70</v>
      </c>
      <c r="G448" s="66" t="s">
        <v>1378</v>
      </c>
      <c r="H448" s="280"/>
      <c r="I448" s="66" t="s">
        <v>232</v>
      </c>
      <c r="J448" s="66" t="s">
        <v>1383</v>
      </c>
      <c r="K448" s="66" t="s">
        <v>232</v>
      </c>
      <c r="L448" s="66" t="s">
        <v>233</v>
      </c>
      <c r="M448" s="93">
        <v>27025.5</v>
      </c>
      <c r="N448" s="32"/>
      <c r="O448" s="94">
        <v>270255</v>
      </c>
      <c r="P448" s="71"/>
      <c r="Q448" s="94"/>
      <c r="R448" s="94" t="s">
        <v>292</v>
      </c>
      <c r="S448" s="94" t="s">
        <v>693</v>
      </c>
      <c r="T448" s="78"/>
      <c r="U448" s="78"/>
      <c r="V448" s="78"/>
      <c r="W448" s="78"/>
      <c r="X448" s="78"/>
      <c r="Y448" s="78"/>
      <c r="Z448" s="78"/>
      <c r="AA448" s="78"/>
      <c r="AB448" s="78"/>
      <c r="AC448" s="96"/>
      <c r="AD448" s="92"/>
      <c r="AE448" s="92"/>
      <c r="AF448" s="32"/>
      <c r="AG448" s="32"/>
    </row>
    <row r="449" spans="1:34">
      <c r="B449" s="111"/>
      <c r="C449" s="32"/>
      <c r="D449" s="32"/>
      <c r="E449" s="32"/>
      <c r="F449" s="32"/>
      <c r="G449" s="66"/>
      <c r="H449" s="194"/>
      <c r="I449" s="32"/>
      <c r="J449" s="32"/>
      <c r="K449" s="32"/>
      <c r="L449" s="32"/>
      <c r="M449" s="190"/>
      <c r="N449" s="32"/>
      <c r="O449" s="32"/>
      <c r="P449" s="17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</row>
    <row r="450" spans="1:34">
      <c r="B450" s="111"/>
      <c r="C450" s="36" t="s">
        <v>1384</v>
      </c>
      <c r="D450" s="32"/>
      <c r="E450" s="32"/>
      <c r="F450" s="32"/>
      <c r="G450" s="66"/>
      <c r="H450" s="194"/>
      <c r="I450" s="32"/>
      <c r="J450" s="32"/>
      <c r="K450" s="32"/>
      <c r="L450" s="32"/>
      <c r="M450" s="190"/>
      <c r="N450" s="32"/>
      <c r="O450" s="32"/>
      <c r="P450" s="17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</row>
    <row r="451" spans="1:34">
      <c r="A451" s="24">
        <v>10</v>
      </c>
      <c r="B451" s="63">
        <v>83</v>
      </c>
      <c r="C451" s="163" t="s">
        <v>1385</v>
      </c>
      <c r="D451" s="163" t="s">
        <v>1386</v>
      </c>
      <c r="E451" s="163"/>
      <c r="F451" s="66">
        <v>417</v>
      </c>
      <c r="G451" s="66" t="s">
        <v>1387</v>
      </c>
      <c r="H451" s="280"/>
      <c r="I451" s="66" t="s">
        <v>436</v>
      </c>
      <c r="J451" s="66" t="s">
        <v>1388</v>
      </c>
      <c r="K451" s="66" t="s">
        <v>436</v>
      </c>
      <c r="L451" s="66" t="s">
        <v>380</v>
      </c>
      <c r="M451" s="93">
        <v>11190.2</v>
      </c>
      <c r="N451" s="32"/>
      <c r="O451" s="94">
        <v>111902</v>
      </c>
      <c r="P451" s="71"/>
      <c r="Q451" s="94"/>
      <c r="R451" s="94" t="s">
        <v>496</v>
      </c>
      <c r="S451" s="94" t="s">
        <v>1389</v>
      </c>
      <c r="T451" s="78"/>
      <c r="U451" s="78"/>
      <c r="V451" s="78" t="s">
        <v>862</v>
      </c>
      <c r="W451" s="78"/>
      <c r="X451" s="78"/>
      <c r="Y451" s="78"/>
      <c r="Z451" s="78">
        <v>56656</v>
      </c>
      <c r="AA451" s="79">
        <v>35895</v>
      </c>
      <c r="AB451" s="78">
        <v>223</v>
      </c>
      <c r="AC451" s="80">
        <v>35912</v>
      </c>
      <c r="AD451" s="75"/>
      <c r="AE451" s="75"/>
      <c r="AF451" s="32"/>
      <c r="AG451" s="32"/>
    </row>
    <row r="452" spans="1:34">
      <c r="B452" s="111"/>
      <c r="C452" s="32"/>
      <c r="D452" s="32"/>
      <c r="E452" s="32"/>
      <c r="F452" s="32"/>
      <c r="G452" s="32"/>
      <c r="H452" s="196"/>
      <c r="I452" s="32"/>
      <c r="J452" s="32"/>
      <c r="K452" s="32"/>
      <c r="L452" s="32"/>
      <c r="M452" s="190"/>
      <c r="N452" s="32"/>
      <c r="O452" s="32"/>
      <c r="P452" s="17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</row>
    <row r="453" spans="1:34">
      <c r="B453" s="111"/>
      <c r="C453" s="32" t="s">
        <v>1390</v>
      </c>
      <c r="D453" s="32"/>
      <c r="E453" s="32"/>
      <c r="F453" s="32"/>
      <c r="G453" s="32"/>
      <c r="H453" s="196"/>
      <c r="I453" s="32"/>
      <c r="J453" s="32"/>
      <c r="K453" s="32"/>
      <c r="L453" s="32"/>
      <c r="M453" s="190"/>
      <c r="N453" s="32"/>
      <c r="O453" s="32"/>
      <c r="P453" s="17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</row>
    <row r="454" spans="1:34">
      <c r="B454" s="63">
        <v>84</v>
      </c>
      <c r="C454" s="64" t="s">
        <v>1391</v>
      </c>
      <c r="D454" s="64" t="s">
        <v>1392</v>
      </c>
      <c r="E454" s="64"/>
      <c r="F454" s="66">
        <v>36</v>
      </c>
      <c r="G454" s="66" t="s">
        <v>1393</v>
      </c>
      <c r="H454" s="280"/>
      <c r="I454" s="66" t="s">
        <v>232</v>
      </c>
      <c r="J454" s="66" t="s">
        <v>1394</v>
      </c>
      <c r="K454" s="66" t="s">
        <v>232</v>
      </c>
      <c r="L454" s="66" t="s">
        <v>259</v>
      </c>
      <c r="M454" s="93">
        <v>5457.5</v>
      </c>
      <c r="N454" s="32"/>
      <c r="O454" s="94">
        <v>54575</v>
      </c>
      <c r="P454" s="71"/>
      <c r="Q454" s="66"/>
      <c r="R454" s="66" t="s">
        <v>292</v>
      </c>
      <c r="S454" s="66" t="s">
        <v>1395</v>
      </c>
      <c r="T454" s="78"/>
      <c r="U454" s="78"/>
      <c r="V454" s="78"/>
      <c r="W454" s="78"/>
      <c r="X454" s="78"/>
      <c r="Y454" s="78"/>
      <c r="Z454" s="78"/>
      <c r="AA454" s="78"/>
      <c r="AB454" s="78"/>
      <c r="AC454" s="96"/>
      <c r="AD454" s="92"/>
      <c r="AE454" s="92"/>
      <c r="AF454" s="32"/>
      <c r="AG454" s="32"/>
    </row>
    <row r="455" spans="1:34">
      <c r="B455" s="111"/>
      <c r="C455" s="32"/>
      <c r="D455" s="32"/>
      <c r="E455" s="32"/>
      <c r="F455" s="32"/>
      <c r="G455" s="32"/>
      <c r="H455" s="196"/>
      <c r="I455" s="32"/>
      <c r="J455" s="32"/>
      <c r="K455" s="32"/>
      <c r="L455" s="32"/>
      <c r="M455" s="190"/>
      <c r="N455" s="32"/>
      <c r="O455" s="32"/>
      <c r="P455" s="17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</row>
    <row r="456" spans="1:34">
      <c r="B456" s="111"/>
      <c r="C456" s="32" t="s">
        <v>1396</v>
      </c>
      <c r="D456" s="32"/>
      <c r="E456" s="32"/>
      <c r="F456" s="32"/>
      <c r="G456" s="32"/>
      <c r="H456" s="196"/>
      <c r="I456" s="32"/>
      <c r="J456" s="32"/>
      <c r="K456" s="32"/>
      <c r="L456" s="32"/>
      <c r="M456" s="190"/>
      <c r="N456" s="32"/>
      <c r="O456" s="32"/>
      <c r="P456" s="17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</row>
    <row r="457" spans="1:34">
      <c r="B457" s="63">
        <v>85</v>
      </c>
      <c r="C457" s="64" t="s">
        <v>1397</v>
      </c>
      <c r="D457" s="64" t="s">
        <v>1398</v>
      </c>
      <c r="E457" s="64"/>
      <c r="F457" s="66">
        <v>138</v>
      </c>
      <c r="G457" s="66" t="s">
        <v>1399</v>
      </c>
      <c r="H457" s="280"/>
      <c r="I457" s="66" t="s">
        <v>286</v>
      </c>
      <c r="J457" s="66" t="s">
        <v>1400</v>
      </c>
      <c r="K457" s="66" t="s">
        <v>286</v>
      </c>
      <c r="L457" s="66" t="s">
        <v>245</v>
      </c>
      <c r="M457" s="93">
        <v>10268</v>
      </c>
      <c r="N457" s="32"/>
      <c r="O457" s="94">
        <v>102680</v>
      </c>
      <c r="P457" s="71"/>
      <c r="Q457" s="66"/>
      <c r="R457" s="66" t="s">
        <v>677</v>
      </c>
      <c r="S457" s="66" t="s">
        <v>1401</v>
      </c>
      <c r="T457" s="78"/>
      <c r="U457" s="78"/>
      <c r="V457" s="78"/>
      <c r="W457" s="78"/>
      <c r="X457" s="78"/>
      <c r="Y457" s="78"/>
      <c r="Z457" s="78"/>
      <c r="AA457" s="78"/>
      <c r="AB457" s="78"/>
      <c r="AC457" s="96"/>
      <c r="AD457" s="92"/>
      <c r="AE457" s="92"/>
      <c r="AF457" s="32"/>
      <c r="AG457" s="32"/>
    </row>
    <row r="458" spans="1:34">
      <c r="B458" s="111"/>
      <c r="C458" s="32"/>
      <c r="D458" s="32"/>
      <c r="E458" s="32"/>
      <c r="F458" s="32"/>
      <c r="G458" s="32"/>
      <c r="H458" s="196"/>
      <c r="I458" s="32"/>
      <c r="J458" s="32"/>
      <c r="K458" s="32"/>
      <c r="L458" s="32"/>
      <c r="M458" s="190"/>
      <c r="N458" s="32"/>
      <c r="O458" s="32"/>
      <c r="P458" s="17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</row>
    <row r="459" spans="1:34">
      <c r="B459" s="111"/>
      <c r="C459" s="32" t="s">
        <v>1402</v>
      </c>
      <c r="D459" s="32"/>
      <c r="E459" s="32"/>
      <c r="F459" s="32"/>
      <c r="G459" s="32"/>
      <c r="H459" s="196"/>
      <c r="I459" s="32"/>
      <c r="J459" s="32"/>
      <c r="K459" s="32"/>
      <c r="L459" s="32"/>
      <c r="M459" s="190"/>
      <c r="N459" s="32"/>
      <c r="O459" s="32"/>
      <c r="P459" s="17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</row>
    <row r="460" spans="1:34">
      <c r="B460" s="63">
        <v>86</v>
      </c>
      <c r="C460" s="64" t="s">
        <v>1403</v>
      </c>
      <c r="D460" s="64" t="s">
        <v>1404</v>
      </c>
      <c r="E460" s="64"/>
      <c r="F460" s="66">
        <v>345</v>
      </c>
      <c r="G460" s="66" t="s">
        <v>1405</v>
      </c>
      <c r="H460" s="280"/>
      <c r="I460" s="66" t="s">
        <v>349</v>
      </c>
      <c r="J460" s="66" t="s">
        <v>1406</v>
      </c>
      <c r="K460" s="66" t="s">
        <v>349</v>
      </c>
      <c r="L460" s="66" t="s">
        <v>259</v>
      </c>
      <c r="M460" s="93">
        <v>5072.3</v>
      </c>
      <c r="N460" s="32"/>
      <c r="O460" s="94">
        <v>50723</v>
      </c>
      <c r="P460" s="71"/>
      <c r="Q460" s="94" t="s">
        <v>234</v>
      </c>
      <c r="R460" s="94" t="s">
        <v>351</v>
      </c>
      <c r="S460" s="94" t="s">
        <v>1407</v>
      </c>
      <c r="T460" s="78"/>
      <c r="U460" s="78"/>
      <c r="V460" s="78"/>
      <c r="W460" s="78"/>
      <c r="X460" s="78"/>
      <c r="Y460" s="78"/>
      <c r="Z460" s="78"/>
      <c r="AA460" s="78"/>
      <c r="AB460" s="95"/>
      <c r="AC460" s="96"/>
      <c r="AD460" s="92"/>
      <c r="AE460" s="92"/>
      <c r="AF460" s="32"/>
      <c r="AG460" s="32"/>
    </row>
    <row r="461" spans="1:34">
      <c r="B461" s="63">
        <v>87</v>
      </c>
      <c r="C461" s="64" t="s">
        <v>1408</v>
      </c>
      <c r="D461" s="64" t="s">
        <v>1409</v>
      </c>
      <c r="E461" s="64"/>
      <c r="F461" s="66">
        <v>166</v>
      </c>
      <c r="G461" s="66" t="s">
        <v>1405</v>
      </c>
      <c r="H461" s="280"/>
      <c r="I461" s="66" t="s">
        <v>232</v>
      </c>
      <c r="J461" s="66" t="s">
        <v>1410</v>
      </c>
      <c r="K461" s="66" t="s">
        <v>232</v>
      </c>
      <c r="L461" s="66" t="s">
        <v>259</v>
      </c>
      <c r="M461" s="93">
        <v>2161934</v>
      </c>
      <c r="N461" s="32"/>
      <c r="O461" s="94">
        <v>1161934</v>
      </c>
      <c r="P461" s="71"/>
      <c r="Q461" s="66"/>
      <c r="R461" s="66" t="s">
        <v>292</v>
      </c>
      <c r="S461" s="66" t="s">
        <v>1411</v>
      </c>
      <c r="T461" s="78" t="s">
        <v>1412</v>
      </c>
      <c r="U461" s="79"/>
      <c r="V461" s="78"/>
      <c r="W461" s="79">
        <v>35943</v>
      </c>
      <c r="X461" s="78">
        <f>500000*400</f>
        <v>200000000</v>
      </c>
      <c r="Y461" s="78">
        <v>500000</v>
      </c>
      <c r="Z461" s="78"/>
      <c r="AA461" s="78"/>
      <c r="AB461" s="78"/>
      <c r="AC461" s="80">
        <v>36133</v>
      </c>
      <c r="AD461" s="75"/>
      <c r="AE461" s="75"/>
      <c r="AF461" s="32"/>
      <c r="AG461" s="32"/>
    </row>
    <row r="462" spans="1:34">
      <c r="B462" s="63">
        <v>88</v>
      </c>
      <c r="C462" s="65" t="s">
        <v>1413</v>
      </c>
      <c r="D462" s="65" t="s">
        <v>1414</v>
      </c>
      <c r="E462" s="65"/>
      <c r="F462" s="66">
        <v>495</v>
      </c>
      <c r="G462" s="66" t="s">
        <v>1405</v>
      </c>
      <c r="H462" s="280"/>
      <c r="I462" s="66" t="s">
        <v>232</v>
      </c>
      <c r="J462" s="66" t="s">
        <v>1415</v>
      </c>
      <c r="K462" s="66" t="s">
        <v>232</v>
      </c>
      <c r="L462" s="66" t="s">
        <v>380</v>
      </c>
      <c r="M462" s="93">
        <v>122396.6</v>
      </c>
      <c r="N462" s="32"/>
      <c r="O462" s="131">
        <v>1223986</v>
      </c>
      <c r="P462" s="71"/>
      <c r="Q462" s="72"/>
      <c r="R462" s="73"/>
      <c r="S462" s="73"/>
      <c r="T462" s="36"/>
      <c r="U462" s="36"/>
      <c r="V462" s="36"/>
      <c r="W462" s="74"/>
      <c r="X462" s="36"/>
      <c r="Y462" s="36"/>
      <c r="Z462" s="36"/>
      <c r="AA462" s="74"/>
      <c r="AB462" s="36"/>
      <c r="AC462" s="75"/>
      <c r="AD462" s="75"/>
      <c r="AE462" s="75"/>
      <c r="AF462" s="32" t="s">
        <v>1416</v>
      </c>
      <c r="AG462" s="32"/>
      <c r="AH462" s="24" t="s">
        <v>1417</v>
      </c>
    </row>
    <row r="463" spans="1:34">
      <c r="B463" s="111"/>
      <c r="C463" s="32"/>
      <c r="D463" s="32"/>
      <c r="E463" s="32"/>
      <c r="F463" s="32"/>
      <c r="G463" s="66"/>
      <c r="H463" s="194"/>
      <c r="I463" s="32"/>
      <c r="J463" s="32"/>
      <c r="K463" s="32"/>
      <c r="L463" s="32"/>
      <c r="M463" s="190"/>
      <c r="N463" s="32"/>
      <c r="O463" s="32"/>
      <c r="P463" s="17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</row>
    <row r="464" spans="1:34">
      <c r="B464" s="111"/>
      <c r="C464" s="32" t="s">
        <v>1418</v>
      </c>
      <c r="D464" s="32"/>
      <c r="E464" s="32"/>
      <c r="F464" s="32"/>
      <c r="G464" s="66"/>
      <c r="H464" s="194"/>
      <c r="I464" s="32"/>
      <c r="J464" s="32"/>
      <c r="K464" s="32"/>
      <c r="L464" s="32"/>
      <c r="M464" s="190"/>
      <c r="N464" s="32"/>
      <c r="O464" s="32"/>
      <c r="P464" s="17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</row>
    <row r="465" spans="2:33">
      <c r="B465" s="63">
        <v>89</v>
      </c>
      <c r="C465" s="64" t="s">
        <v>1419</v>
      </c>
      <c r="D465" s="64" t="s">
        <v>1420</v>
      </c>
      <c r="E465" s="64"/>
      <c r="F465" s="66">
        <v>107</v>
      </c>
      <c r="G465" s="66" t="s">
        <v>1399</v>
      </c>
      <c r="H465" s="280"/>
      <c r="I465" s="66" t="s">
        <v>232</v>
      </c>
      <c r="J465" s="66" t="s">
        <v>1421</v>
      </c>
      <c r="K465" s="66" t="s">
        <v>232</v>
      </c>
      <c r="L465" s="66" t="s">
        <v>233</v>
      </c>
      <c r="M465" s="93">
        <v>13164.2</v>
      </c>
      <c r="N465" s="32"/>
      <c r="O465" s="94">
        <v>131642</v>
      </c>
      <c r="P465" s="71"/>
      <c r="Q465" s="94"/>
      <c r="R465" s="94" t="s">
        <v>323</v>
      </c>
      <c r="S465" s="94" t="s">
        <v>1422</v>
      </c>
      <c r="T465" s="78"/>
      <c r="U465" s="78"/>
      <c r="V465" s="78"/>
      <c r="W465" s="78"/>
      <c r="X465" s="78"/>
      <c r="Y465" s="78"/>
      <c r="Z465" s="78">
        <v>67137</v>
      </c>
      <c r="AA465" s="79">
        <v>35959</v>
      </c>
      <c r="AB465" s="78">
        <v>413</v>
      </c>
      <c r="AC465" s="80">
        <v>35990</v>
      </c>
      <c r="AD465" s="75"/>
      <c r="AE465" s="75"/>
      <c r="AF465" s="32"/>
      <c r="AG465" s="32"/>
    </row>
    <row r="466" spans="2:33">
      <c r="B466" s="111"/>
      <c r="C466" s="32"/>
      <c r="D466" s="32"/>
      <c r="E466" s="32"/>
      <c r="F466" s="32"/>
      <c r="G466" s="66"/>
      <c r="H466" s="194"/>
      <c r="I466" s="32"/>
      <c r="J466" s="32"/>
      <c r="K466" s="32"/>
      <c r="L466" s="32"/>
      <c r="M466" s="190"/>
      <c r="N466" s="32"/>
      <c r="O466" s="32"/>
      <c r="P466" s="17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</row>
    <row r="467" spans="2:33">
      <c r="B467" s="111"/>
      <c r="C467" s="32" t="s">
        <v>1423</v>
      </c>
      <c r="D467" s="32"/>
      <c r="E467" s="32"/>
      <c r="F467" s="32"/>
      <c r="G467" s="66"/>
      <c r="H467" s="194"/>
      <c r="I467" s="32"/>
      <c r="J467" s="32"/>
      <c r="K467" s="32"/>
      <c r="L467" s="32"/>
      <c r="M467" s="190"/>
      <c r="N467" s="32"/>
      <c r="O467" s="32"/>
      <c r="P467" s="17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</row>
    <row r="468" spans="2:33">
      <c r="B468" s="63">
        <v>90</v>
      </c>
      <c r="C468" s="64" t="s">
        <v>1424</v>
      </c>
      <c r="D468" s="64" t="s">
        <v>1425</v>
      </c>
      <c r="E468" s="64"/>
      <c r="F468" s="66">
        <v>137</v>
      </c>
      <c r="G468" s="66" t="s">
        <v>1426</v>
      </c>
      <c r="H468" s="280"/>
      <c r="I468" s="66" t="s">
        <v>286</v>
      </c>
      <c r="J468" s="66" t="s">
        <v>1427</v>
      </c>
      <c r="K468" s="66" t="s">
        <v>286</v>
      </c>
      <c r="L468" s="66" t="s">
        <v>245</v>
      </c>
      <c r="M468" s="93">
        <v>7436.2</v>
      </c>
      <c r="N468" s="32"/>
      <c r="O468" s="94">
        <v>74362</v>
      </c>
      <c r="P468" s="71"/>
      <c r="Q468" s="66"/>
      <c r="R468" s="66" t="s">
        <v>677</v>
      </c>
      <c r="S468" s="66"/>
      <c r="T468" s="78"/>
      <c r="U468" s="78"/>
      <c r="V468" s="78"/>
      <c r="W468" s="78"/>
      <c r="X468" s="78"/>
      <c r="Y468" s="78"/>
      <c r="Z468" s="78"/>
      <c r="AA468" s="78"/>
      <c r="AB468" s="78"/>
      <c r="AC468" s="96"/>
      <c r="AD468" s="92"/>
      <c r="AE468" s="92"/>
      <c r="AF468" s="32"/>
      <c r="AG468" s="32"/>
    </row>
    <row r="469" spans="2:33">
      <c r="B469" s="111"/>
      <c r="C469" s="32"/>
      <c r="D469" s="32"/>
      <c r="E469" s="32"/>
      <c r="F469" s="32"/>
      <c r="G469" s="32"/>
      <c r="H469" s="196"/>
      <c r="I469" s="32"/>
      <c r="J469" s="32"/>
      <c r="K469" s="32"/>
      <c r="L469" s="32"/>
      <c r="M469" s="190"/>
      <c r="N469" s="32"/>
      <c r="O469" s="32"/>
      <c r="P469" s="17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</row>
    <row r="470" spans="2:33">
      <c r="B470" s="111"/>
      <c r="C470" s="32" t="s">
        <v>1428</v>
      </c>
      <c r="D470" s="32"/>
      <c r="E470" s="32"/>
      <c r="F470" s="32"/>
      <c r="G470" s="32"/>
      <c r="H470" s="196"/>
      <c r="I470" s="32"/>
      <c r="J470" s="32"/>
      <c r="K470" s="32"/>
      <c r="L470" s="32"/>
      <c r="M470" s="190"/>
      <c r="N470" s="32"/>
      <c r="O470" s="32"/>
      <c r="P470" s="17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</row>
    <row r="471" spans="2:33">
      <c r="B471" s="63">
        <v>91</v>
      </c>
      <c r="C471" s="64" t="s">
        <v>1429</v>
      </c>
      <c r="D471" s="64" t="s">
        <v>1430</v>
      </c>
      <c r="E471" s="64"/>
      <c r="F471" s="66">
        <v>167</v>
      </c>
      <c r="G471" s="66" t="s">
        <v>1431</v>
      </c>
      <c r="H471" s="280"/>
      <c r="I471" s="66" t="s">
        <v>355</v>
      </c>
      <c r="J471" s="66" t="s">
        <v>1432</v>
      </c>
      <c r="K471" s="66" t="s">
        <v>355</v>
      </c>
      <c r="L471" s="66" t="s">
        <v>233</v>
      </c>
      <c r="M471" s="93">
        <v>11124.9</v>
      </c>
      <c r="N471" s="32"/>
      <c r="O471" s="94">
        <v>111249</v>
      </c>
      <c r="P471" s="71"/>
      <c r="Q471" s="66"/>
      <c r="R471" s="66" t="s">
        <v>359</v>
      </c>
      <c r="S471" s="66"/>
      <c r="T471" s="78"/>
      <c r="U471" s="78"/>
      <c r="V471" s="78"/>
      <c r="W471" s="78"/>
      <c r="X471" s="78"/>
      <c r="Y471" s="78"/>
      <c r="Z471" s="78"/>
      <c r="AA471" s="78"/>
      <c r="AB471" s="78"/>
      <c r="AC471" s="96"/>
      <c r="AD471" s="92"/>
      <c r="AE471" s="92"/>
      <c r="AF471" s="32"/>
      <c r="AG471" s="32"/>
    </row>
    <row r="472" spans="2:33">
      <c r="B472" s="111"/>
      <c r="C472" s="32"/>
      <c r="D472" s="32"/>
      <c r="E472" s="32"/>
      <c r="F472" s="32"/>
      <c r="G472" s="66"/>
      <c r="H472" s="194"/>
      <c r="I472" s="32"/>
      <c r="J472" s="32"/>
      <c r="K472" s="32"/>
      <c r="L472" s="32"/>
      <c r="M472" s="190"/>
      <c r="N472" s="32"/>
      <c r="O472" s="32"/>
      <c r="P472" s="17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</row>
    <row r="473" spans="2:33">
      <c r="B473" s="111"/>
      <c r="C473" s="32" t="s">
        <v>1433</v>
      </c>
      <c r="D473" s="32"/>
      <c r="E473" s="32"/>
      <c r="F473" s="32"/>
      <c r="G473" s="66"/>
      <c r="H473" s="194"/>
      <c r="I473" s="32"/>
      <c r="J473" s="32"/>
      <c r="K473" s="32"/>
      <c r="L473" s="32"/>
      <c r="M473" s="190"/>
      <c r="N473" s="32"/>
      <c r="O473" s="32"/>
      <c r="P473" s="17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</row>
    <row r="474" spans="2:33">
      <c r="B474" s="63">
        <v>92</v>
      </c>
      <c r="C474" s="65" t="s">
        <v>1434</v>
      </c>
      <c r="D474" s="65" t="s">
        <v>1435</v>
      </c>
      <c r="E474" s="65"/>
      <c r="F474" s="66">
        <v>482</v>
      </c>
      <c r="G474" s="66" t="s">
        <v>1426</v>
      </c>
      <c r="H474" s="280"/>
      <c r="I474" s="66" t="s">
        <v>232</v>
      </c>
      <c r="J474" s="66" t="s">
        <v>1436</v>
      </c>
      <c r="K474" s="66" t="s">
        <v>232</v>
      </c>
      <c r="L474" s="66" t="s">
        <v>245</v>
      </c>
      <c r="M474" s="93">
        <v>1266845</v>
      </c>
      <c r="N474" s="32"/>
      <c r="O474" s="94">
        <v>235369</v>
      </c>
      <c r="P474" s="71"/>
      <c r="Q474" s="77"/>
      <c r="R474" s="77" t="s">
        <v>240</v>
      </c>
      <c r="S474" s="77" t="s">
        <v>1437</v>
      </c>
      <c r="T474" s="78"/>
      <c r="U474" s="78"/>
      <c r="V474" s="78"/>
      <c r="W474" s="79">
        <v>36048</v>
      </c>
      <c r="X474" s="78"/>
      <c r="Y474" s="78"/>
      <c r="Z474" s="78">
        <v>235369</v>
      </c>
      <c r="AA474" s="79">
        <v>36094</v>
      </c>
      <c r="AB474" s="78">
        <v>761</v>
      </c>
      <c r="AC474" s="80">
        <v>36112</v>
      </c>
      <c r="AD474" s="75"/>
      <c r="AE474" s="75"/>
      <c r="AF474" s="32" t="s">
        <v>1438</v>
      </c>
      <c r="AG474" s="32"/>
    </row>
    <row r="475" spans="2:33">
      <c r="B475" s="111"/>
      <c r="C475" s="32"/>
      <c r="D475" s="32"/>
      <c r="E475" s="32"/>
      <c r="F475" s="32"/>
      <c r="G475" s="66"/>
      <c r="H475" s="194"/>
      <c r="I475" s="32"/>
      <c r="J475" s="32"/>
      <c r="K475" s="32"/>
      <c r="L475" s="32"/>
      <c r="M475" s="190"/>
      <c r="N475" s="32"/>
      <c r="O475" s="32"/>
      <c r="P475" s="17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</row>
    <row r="476" spans="2:33">
      <c r="B476" s="111"/>
      <c r="C476" s="32" t="s">
        <v>1439</v>
      </c>
      <c r="D476" s="32"/>
      <c r="E476" s="32"/>
      <c r="F476" s="32"/>
      <c r="G476" s="66"/>
      <c r="H476" s="194"/>
      <c r="I476" s="32"/>
      <c r="J476" s="32"/>
      <c r="K476" s="32"/>
      <c r="L476" s="32"/>
      <c r="M476" s="190"/>
      <c r="N476" s="32"/>
      <c r="O476" s="32"/>
      <c r="P476" s="17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</row>
    <row r="477" spans="2:33">
      <c r="B477" s="63">
        <v>93</v>
      </c>
      <c r="C477" s="64" t="s">
        <v>1440</v>
      </c>
      <c r="D477" s="64" t="s">
        <v>1441</v>
      </c>
      <c r="E477" s="64"/>
      <c r="F477" s="66">
        <v>101</v>
      </c>
      <c r="G477" s="66" t="s">
        <v>1431</v>
      </c>
      <c r="H477" s="280"/>
      <c r="I477" s="66" t="s">
        <v>262</v>
      </c>
      <c r="J477" s="66" t="s">
        <v>1442</v>
      </c>
      <c r="K477" s="66" t="s">
        <v>262</v>
      </c>
      <c r="L477" s="66" t="s">
        <v>233</v>
      </c>
      <c r="M477" s="93">
        <v>12844.3</v>
      </c>
      <c r="N477" s="32"/>
      <c r="O477" s="94">
        <v>128443</v>
      </c>
      <c r="P477" s="71"/>
      <c r="Q477" s="66"/>
      <c r="R477" s="66" t="s">
        <v>489</v>
      </c>
      <c r="S477" s="66"/>
      <c r="T477" s="78">
        <v>554904.6</v>
      </c>
      <c r="U477" s="78"/>
      <c r="V477" s="78"/>
      <c r="W477" s="78"/>
      <c r="X477" s="78"/>
      <c r="Y477" s="78"/>
      <c r="Z477" s="78"/>
      <c r="AA477" s="78"/>
      <c r="AB477" s="78"/>
      <c r="AC477" s="96"/>
      <c r="AD477" s="92"/>
      <c r="AE477" s="92"/>
      <c r="AF477" s="32"/>
      <c r="AG477" s="32"/>
    </row>
    <row r="478" spans="2:33">
      <c r="B478" s="111"/>
      <c r="C478" s="32"/>
      <c r="D478" s="32"/>
      <c r="E478" s="32"/>
      <c r="F478" s="32"/>
      <c r="G478" s="66"/>
      <c r="H478" s="194"/>
      <c r="I478" s="32"/>
      <c r="J478" s="32"/>
      <c r="K478" s="32"/>
      <c r="L478" s="32"/>
      <c r="M478" s="190"/>
      <c r="N478" s="32"/>
      <c r="O478" s="32"/>
      <c r="P478" s="17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</row>
    <row r="479" spans="2:33">
      <c r="B479" s="111"/>
      <c r="C479" s="32" t="s">
        <v>1443</v>
      </c>
      <c r="D479" s="32"/>
      <c r="E479" s="32"/>
      <c r="F479" s="32"/>
      <c r="G479" s="66"/>
      <c r="H479" s="194"/>
      <c r="I479" s="32"/>
      <c r="J479" s="32"/>
      <c r="K479" s="32"/>
      <c r="L479" s="32"/>
      <c r="M479" s="190"/>
      <c r="N479" s="32"/>
      <c r="O479" s="32"/>
      <c r="P479" s="17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</row>
    <row r="480" spans="2:33">
      <c r="B480" s="63">
        <v>94</v>
      </c>
      <c r="C480" s="64" t="s">
        <v>1444</v>
      </c>
      <c r="D480" s="64" t="s">
        <v>1445</v>
      </c>
      <c r="E480" s="64"/>
      <c r="F480" s="66">
        <v>106</v>
      </c>
      <c r="G480" s="66" t="s">
        <v>1431</v>
      </c>
      <c r="H480" s="280"/>
      <c r="I480" s="66" t="s">
        <v>232</v>
      </c>
      <c r="J480" s="66" t="s">
        <v>1446</v>
      </c>
      <c r="K480" s="66" t="s">
        <v>232</v>
      </c>
      <c r="L480" s="66" t="s">
        <v>259</v>
      </c>
      <c r="M480" s="93">
        <v>17443.3</v>
      </c>
      <c r="N480" s="32"/>
      <c r="O480" s="94">
        <v>174433</v>
      </c>
      <c r="P480" s="71"/>
      <c r="Q480" s="94"/>
      <c r="R480" s="94" t="s">
        <v>292</v>
      </c>
      <c r="S480" s="94" t="s">
        <v>1447</v>
      </c>
      <c r="T480" s="78"/>
      <c r="U480" s="78"/>
      <c r="V480" s="78"/>
      <c r="W480" s="78"/>
      <c r="X480" s="78"/>
      <c r="Y480" s="78"/>
      <c r="Z480" s="78"/>
      <c r="AA480" s="78"/>
      <c r="AB480" s="95"/>
      <c r="AC480" s="96"/>
      <c r="AD480" s="92"/>
      <c r="AE480" s="92"/>
      <c r="AF480" s="32" t="s">
        <v>1448</v>
      </c>
      <c r="AG480" s="32"/>
    </row>
    <row r="481" spans="2:33">
      <c r="B481" s="87"/>
      <c r="C481" s="88"/>
      <c r="D481" s="88"/>
      <c r="E481" s="88"/>
      <c r="F481" s="56"/>
      <c r="G481" s="66"/>
      <c r="H481" s="194"/>
      <c r="I481" s="56"/>
      <c r="J481" s="56"/>
      <c r="K481" s="56"/>
      <c r="L481" s="56"/>
      <c r="M481" s="58"/>
      <c r="N481" s="32"/>
      <c r="O481" s="90"/>
      <c r="P481" s="60"/>
      <c r="Q481" s="90"/>
      <c r="R481" s="90"/>
      <c r="S481" s="90"/>
      <c r="T481" s="36"/>
      <c r="U481" s="36"/>
      <c r="V481" s="36"/>
      <c r="W481" s="36"/>
      <c r="X481" s="36"/>
      <c r="Y481" s="36"/>
      <c r="Z481" s="36"/>
      <c r="AA481" s="36"/>
      <c r="AB481" s="36"/>
      <c r="AC481" s="92"/>
      <c r="AD481" s="92"/>
      <c r="AE481" s="92"/>
      <c r="AF481" s="32"/>
      <c r="AG481" s="32"/>
    </row>
    <row r="482" spans="2:33">
      <c r="B482" s="87"/>
      <c r="C482" s="88" t="s">
        <v>1449</v>
      </c>
      <c r="D482" s="88"/>
      <c r="E482" s="88"/>
      <c r="F482" s="56"/>
      <c r="G482" s="66"/>
      <c r="H482" s="194"/>
      <c r="I482" s="56"/>
      <c r="J482" s="56"/>
      <c r="K482" s="56"/>
      <c r="L482" s="56"/>
      <c r="M482" s="58"/>
      <c r="N482" s="32"/>
      <c r="O482" s="90"/>
      <c r="P482" s="60"/>
      <c r="Q482" s="90"/>
      <c r="R482" s="90"/>
      <c r="S482" s="90"/>
      <c r="T482" s="36"/>
      <c r="U482" s="36"/>
      <c r="V482" s="36"/>
      <c r="W482" s="36"/>
      <c r="X482" s="36"/>
      <c r="Y482" s="36"/>
      <c r="Z482" s="36"/>
      <c r="AA482" s="36"/>
      <c r="AB482" s="36"/>
      <c r="AC482" s="92"/>
      <c r="AD482" s="92"/>
      <c r="AE482" s="92"/>
      <c r="AF482" s="32"/>
      <c r="AG482" s="32"/>
    </row>
    <row r="483" spans="2:33">
      <c r="B483" s="63">
        <v>95</v>
      </c>
      <c r="C483" s="64" t="s">
        <v>1450</v>
      </c>
      <c r="D483" s="64" t="s">
        <v>1451</v>
      </c>
      <c r="E483" s="64"/>
      <c r="F483" s="66">
        <v>112</v>
      </c>
      <c r="G483" s="66" t="s">
        <v>1452</v>
      </c>
      <c r="H483" s="280"/>
      <c r="I483" s="66" t="s">
        <v>349</v>
      </c>
      <c r="J483" s="66" t="s">
        <v>1453</v>
      </c>
      <c r="K483" s="66" t="s">
        <v>349</v>
      </c>
      <c r="L483" s="66" t="s">
        <v>350</v>
      </c>
      <c r="M483" s="93">
        <v>13054.9</v>
      </c>
      <c r="N483" s="32"/>
      <c r="O483" s="94">
        <v>130549</v>
      </c>
      <c r="P483" s="71"/>
      <c r="Q483" s="66"/>
      <c r="R483" s="66" t="s">
        <v>351</v>
      </c>
      <c r="S483" s="66"/>
      <c r="T483" s="78"/>
      <c r="U483" s="78"/>
      <c r="V483" s="78"/>
      <c r="W483" s="78"/>
      <c r="X483" s="78"/>
      <c r="Y483" s="78"/>
      <c r="Z483" s="78"/>
      <c r="AA483" s="78"/>
      <c r="AB483" s="78"/>
      <c r="AC483" s="96"/>
      <c r="AD483" s="92"/>
      <c r="AE483" s="92"/>
      <c r="AF483" s="32"/>
      <c r="AG483" s="32"/>
    </row>
    <row r="484" spans="2:33">
      <c r="B484" s="87"/>
      <c r="C484" s="88"/>
      <c r="D484" s="88"/>
      <c r="E484" s="88"/>
      <c r="F484" s="56"/>
      <c r="G484" s="66"/>
      <c r="H484" s="194"/>
      <c r="I484" s="56"/>
      <c r="J484" s="56"/>
      <c r="K484" s="56"/>
      <c r="L484" s="56"/>
      <c r="M484" s="58"/>
      <c r="N484" s="32"/>
      <c r="O484" s="90"/>
      <c r="P484" s="60"/>
      <c r="Q484" s="90"/>
      <c r="R484" s="90"/>
      <c r="S484" s="90"/>
      <c r="T484" s="36"/>
      <c r="U484" s="36"/>
      <c r="V484" s="36"/>
      <c r="W484" s="36"/>
      <c r="X484" s="36"/>
      <c r="Y484" s="36"/>
      <c r="Z484" s="36"/>
      <c r="AA484" s="36"/>
      <c r="AB484" s="36"/>
      <c r="AC484" s="92"/>
      <c r="AD484" s="92"/>
      <c r="AE484" s="92"/>
      <c r="AF484" s="32"/>
      <c r="AG484" s="32"/>
    </row>
    <row r="485" spans="2:33">
      <c r="B485" s="87"/>
      <c r="C485" s="88" t="s">
        <v>1454</v>
      </c>
      <c r="D485" s="88"/>
      <c r="E485" s="88"/>
      <c r="F485" s="56"/>
      <c r="G485" s="66"/>
      <c r="H485" s="194"/>
      <c r="I485" s="56"/>
      <c r="J485" s="56"/>
      <c r="K485" s="56"/>
      <c r="L485" s="56"/>
      <c r="M485" s="58"/>
      <c r="N485" s="32"/>
      <c r="O485" s="90"/>
      <c r="P485" s="60"/>
      <c r="Q485" s="90"/>
      <c r="R485" s="90"/>
      <c r="S485" s="90"/>
      <c r="T485" s="36"/>
      <c r="U485" s="36"/>
      <c r="V485" s="36"/>
      <c r="W485" s="36"/>
      <c r="X485" s="36"/>
      <c r="Y485" s="36"/>
      <c r="Z485" s="36"/>
      <c r="AA485" s="36"/>
      <c r="AB485" s="36"/>
      <c r="AC485" s="92"/>
      <c r="AD485" s="92"/>
      <c r="AE485" s="92"/>
      <c r="AF485" s="32"/>
      <c r="AG485" s="32"/>
    </row>
    <row r="486" spans="2:33">
      <c r="B486" s="63">
        <v>96</v>
      </c>
      <c r="C486" s="64" t="s">
        <v>1455</v>
      </c>
      <c r="D486" s="64" t="s">
        <v>1456</v>
      </c>
      <c r="E486" s="64"/>
      <c r="F486" s="66">
        <v>99</v>
      </c>
      <c r="G486" s="66" t="s">
        <v>1457</v>
      </c>
      <c r="H486" s="280"/>
      <c r="I486" s="66" t="s">
        <v>552</v>
      </c>
      <c r="J486" s="66" t="s">
        <v>1458</v>
      </c>
      <c r="K486" s="66" t="s">
        <v>552</v>
      </c>
      <c r="L486" s="66" t="s">
        <v>245</v>
      </c>
      <c r="M486" s="93">
        <v>7780.4</v>
      </c>
      <c r="N486" s="32"/>
      <c r="O486" s="94">
        <v>77804</v>
      </c>
      <c r="P486" s="71"/>
      <c r="Q486" s="94"/>
      <c r="R486" s="94" t="s">
        <v>553</v>
      </c>
      <c r="S486" s="94" t="s">
        <v>1459</v>
      </c>
      <c r="T486" s="78"/>
      <c r="U486" s="78"/>
      <c r="V486" s="78"/>
      <c r="W486" s="78"/>
      <c r="X486" s="78"/>
      <c r="Y486" s="78"/>
      <c r="Z486" s="78">
        <v>54462</v>
      </c>
      <c r="AA486" s="79">
        <v>35769</v>
      </c>
      <c r="AB486" s="78">
        <v>782</v>
      </c>
      <c r="AC486" s="80">
        <v>35772</v>
      </c>
      <c r="AD486" s="75"/>
      <c r="AE486" s="75"/>
      <c r="AF486" s="32"/>
      <c r="AG486" s="32"/>
    </row>
    <row r="487" spans="2:33">
      <c r="B487" s="63"/>
      <c r="C487" s="64"/>
      <c r="D487" s="64"/>
      <c r="E487" s="64"/>
      <c r="F487" s="66"/>
      <c r="G487" s="66"/>
      <c r="H487" s="280"/>
      <c r="I487" s="66"/>
      <c r="J487" s="66"/>
      <c r="K487" s="66"/>
      <c r="L487" s="66"/>
      <c r="M487" s="93"/>
      <c r="N487" s="32"/>
      <c r="O487" s="94"/>
      <c r="P487" s="71"/>
      <c r="Q487" s="90"/>
      <c r="R487" s="90"/>
      <c r="S487" s="90"/>
      <c r="T487" s="36"/>
      <c r="U487" s="36"/>
      <c r="V487" s="36"/>
      <c r="W487" s="36"/>
      <c r="X487" s="36"/>
      <c r="Y487" s="36"/>
      <c r="Z487" s="36"/>
      <c r="AA487" s="74"/>
      <c r="AB487" s="36"/>
      <c r="AC487" s="75"/>
      <c r="AD487" s="75"/>
      <c r="AE487" s="75"/>
      <c r="AF487" s="32"/>
      <c r="AG487" s="32"/>
    </row>
    <row r="488" spans="2:33">
      <c r="B488" s="63"/>
      <c r="C488" s="64" t="s">
        <v>1460</v>
      </c>
      <c r="D488" s="64"/>
      <c r="E488" s="64"/>
      <c r="F488" s="66"/>
      <c r="G488" s="66"/>
      <c r="H488" s="280"/>
      <c r="I488" s="66"/>
      <c r="J488" s="66"/>
      <c r="K488" s="66"/>
      <c r="L488" s="66"/>
      <c r="M488" s="93"/>
      <c r="N488" s="32"/>
      <c r="O488" s="94"/>
      <c r="P488" s="71"/>
      <c r="Q488" s="90"/>
      <c r="R488" s="90"/>
      <c r="S488" s="90"/>
      <c r="T488" s="36"/>
      <c r="U488" s="36"/>
      <c r="V488" s="36"/>
      <c r="W488" s="36"/>
      <c r="X488" s="36"/>
      <c r="Y488" s="36"/>
      <c r="Z488" s="36"/>
      <c r="AA488" s="74"/>
      <c r="AB488" s="36"/>
      <c r="AC488" s="75"/>
      <c r="AD488" s="75"/>
      <c r="AE488" s="75"/>
      <c r="AF488" s="32"/>
      <c r="AG488" s="32"/>
    </row>
    <row r="489" spans="2:33">
      <c r="B489" s="63">
        <v>97</v>
      </c>
      <c r="C489" s="64" t="s">
        <v>1461</v>
      </c>
      <c r="D489" s="64" t="s">
        <v>1462</v>
      </c>
      <c r="E489" s="64"/>
      <c r="F489" s="66">
        <v>433</v>
      </c>
      <c r="G489" s="66" t="s">
        <v>1457</v>
      </c>
      <c r="H489" s="280"/>
      <c r="I489" s="66" t="s">
        <v>688</v>
      </c>
      <c r="J489" s="66" t="s">
        <v>1463</v>
      </c>
      <c r="K489" s="66" t="s">
        <v>688</v>
      </c>
      <c r="L489" s="66" t="s">
        <v>380</v>
      </c>
      <c r="M489" s="93">
        <v>58272.9</v>
      </c>
      <c r="N489" s="32"/>
      <c r="O489" s="94">
        <v>582729</v>
      </c>
      <c r="P489" s="71">
        <v>407910</v>
      </c>
      <c r="Q489" s="94"/>
      <c r="R489" s="94" t="s">
        <v>689</v>
      </c>
      <c r="S489" s="94" t="s">
        <v>1464</v>
      </c>
      <c r="T489" s="78"/>
      <c r="U489" s="78"/>
      <c r="V489" s="78"/>
      <c r="W489" s="78"/>
      <c r="X489" s="78"/>
      <c r="Y489" s="78"/>
      <c r="Z489" s="78"/>
      <c r="AA489" s="78"/>
      <c r="AB489" s="95"/>
      <c r="AC489" s="96"/>
      <c r="AD489" s="92"/>
      <c r="AE489" s="92"/>
      <c r="AF489" s="32" t="s">
        <v>1465</v>
      </c>
      <c r="AG489" s="32"/>
    </row>
    <row r="490" spans="2:33">
      <c r="B490" s="87"/>
      <c r="C490" s="88"/>
      <c r="D490" s="88"/>
      <c r="E490" s="88"/>
      <c r="F490" s="56"/>
      <c r="G490" s="66"/>
      <c r="H490" s="194"/>
      <c r="I490" s="56"/>
      <c r="J490" s="56"/>
      <c r="K490" s="56"/>
      <c r="L490" s="56"/>
      <c r="M490" s="58"/>
      <c r="N490" s="32"/>
      <c r="O490" s="90"/>
      <c r="P490" s="60"/>
      <c r="Q490" s="90"/>
      <c r="R490" s="90"/>
      <c r="S490" s="90"/>
      <c r="T490" s="36"/>
      <c r="U490" s="36"/>
      <c r="V490" s="36"/>
      <c r="W490" s="36"/>
      <c r="X490" s="36"/>
      <c r="Y490" s="36"/>
      <c r="Z490" s="36"/>
      <c r="AA490" s="36"/>
      <c r="AB490" s="36"/>
      <c r="AC490" s="92"/>
      <c r="AD490" s="92"/>
      <c r="AE490" s="92"/>
      <c r="AF490" s="32"/>
      <c r="AG490" s="32"/>
    </row>
    <row r="491" spans="2:33">
      <c r="B491" s="87"/>
      <c r="C491" s="88" t="s">
        <v>1466</v>
      </c>
      <c r="D491" s="88"/>
      <c r="E491" s="88"/>
      <c r="F491" s="56"/>
      <c r="G491" s="66"/>
      <c r="H491" s="194"/>
      <c r="I491" s="56"/>
      <c r="J491" s="56"/>
      <c r="K491" s="56"/>
      <c r="L491" s="56"/>
      <c r="M491" s="58"/>
      <c r="N491" s="32"/>
      <c r="O491" s="90"/>
      <c r="P491" s="60"/>
      <c r="Q491" s="90"/>
      <c r="R491" s="90"/>
      <c r="S491" s="90"/>
      <c r="T491" s="36"/>
      <c r="U491" s="36"/>
      <c r="V491" s="36"/>
      <c r="W491" s="36"/>
      <c r="X491" s="36"/>
      <c r="Y491" s="36"/>
      <c r="Z491" s="36"/>
      <c r="AA491" s="36"/>
      <c r="AB491" s="36"/>
      <c r="AC491" s="92"/>
      <c r="AD491" s="92"/>
      <c r="AE491" s="92"/>
      <c r="AF491" s="32"/>
      <c r="AG491" s="32"/>
    </row>
    <row r="492" spans="2:33">
      <c r="B492" s="63">
        <v>98</v>
      </c>
      <c r="C492" s="64" t="s">
        <v>1467</v>
      </c>
      <c r="D492" s="64" t="s">
        <v>1468</v>
      </c>
      <c r="E492" s="64"/>
      <c r="F492" s="66">
        <v>273</v>
      </c>
      <c r="G492" s="66" t="s">
        <v>1469</v>
      </c>
      <c r="H492" s="280"/>
      <c r="I492" s="66" t="s">
        <v>349</v>
      </c>
      <c r="J492" s="66" t="s">
        <v>1470</v>
      </c>
      <c r="K492" s="66" t="s">
        <v>349</v>
      </c>
      <c r="L492" s="66" t="s">
        <v>233</v>
      </c>
      <c r="M492" s="93">
        <v>22899.4</v>
      </c>
      <c r="N492" s="32"/>
      <c r="O492" s="94">
        <v>228994</v>
      </c>
      <c r="P492" s="71"/>
      <c r="Q492" s="66"/>
      <c r="R492" s="66" t="s">
        <v>351</v>
      </c>
      <c r="S492" s="66" t="s">
        <v>1471</v>
      </c>
      <c r="T492" s="78"/>
      <c r="U492" s="78"/>
      <c r="V492" s="78"/>
      <c r="W492" s="78"/>
      <c r="X492" s="78"/>
      <c r="Y492" s="78"/>
      <c r="Z492" s="78"/>
      <c r="AA492" s="78"/>
      <c r="AB492" s="78"/>
      <c r="AC492" s="96"/>
      <c r="AD492" s="92"/>
      <c r="AE492" s="92"/>
      <c r="AF492" s="32"/>
      <c r="AG492" s="32"/>
    </row>
    <row r="493" spans="2:33">
      <c r="B493" s="87"/>
      <c r="C493" s="88"/>
      <c r="D493" s="88"/>
      <c r="E493" s="88"/>
      <c r="F493" s="56"/>
      <c r="G493" s="66"/>
      <c r="H493" s="194"/>
      <c r="I493" s="56"/>
      <c r="J493" s="56"/>
      <c r="K493" s="56"/>
      <c r="L493" s="56"/>
      <c r="M493" s="58"/>
      <c r="N493" s="32"/>
      <c r="O493" s="90"/>
      <c r="P493" s="60"/>
      <c r="Q493" s="90"/>
      <c r="R493" s="90"/>
      <c r="S493" s="90"/>
      <c r="T493" s="36"/>
      <c r="U493" s="36"/>
      <c r="V493" s="36"/>
      <c r="W493" s="36"/>
      <c r="X493" s="36"/>
      <c r="Y493" s="36"/>
      <c r="Z493" s="36"/>
      <c r="AA493" s="36"/>
      <c r="AB493" s="36"/>
      <c r="AC493" s="92"/>
      <c r="AD493" s="92"/>
      <c r="AE493" s="92"/>
      <c r="AF493" s="32"/>
      <c r="AG493" s="32"/>
    </row>
    <row r="494" spans="2:33">
      <c r="B494" s="87"/>
      <c r="C494" s="88" t="s">
        <v>1472</v>
      </c>
      <c r="D494" s="88"/>
      <c r="E494" s="88"/>
      <c r="F494" s="56"/>
      <c r="G494" s="66"/>
      <c r="H494" s="194"/>
      <c r="I494" s="56"/>
      <c r="J494" s="56"/>
      <c r="K494" s="56"/>
      <c r="L494" s="56"/>
      <c r="M494" s="58"/>
      <c r="N494" s="32"/>
      <c r="O494" s="90"/>
      <c r="P494" s="60"/>
      <c r="Q494" s="90"/>
      <c r="R494" s="90"/>
      <c r="S494" s="90"/>
      <c r="T494" s="36"/>
      <c r="U494" s="36"/>
      <c r="V494" s="36"/>
      <c r="W494" s="36"/>
      <c r="X494" s="36"/>
      <c r="Y494" s="36"/>
      <c r="Z494" s="36"/>
      <c r="AA494" s="36"/>
      <c r="AB494" s="36"/>
      <c r="AC494" s="92"/>
      <c r="AD494" s="92"/>
      <c r="AE494" s="92"/>
      <c r="AF494" s="32"/>
      <c r="AG494" s="32"/>
    </row>
    <row r="495" spans="2:33">
      <c r="B495" s="63">
        <v>99</v>
      </c>
      <c r="C495" s="64" t="s">
        <v>1473</v>
      </c>
      <c r="D495" s="64" t="s">
        <v>1474</v>
      </c>
      <c r="E495" s="64"/>
      <c r="F495" s="66">
        <v>151</v>
      </c>
      <c r="G495" s="66" t="s">
        <v>1469</v>
      </c>
      <c r="H495" s="280"/>
      <c r="I495" s="66" t="s">
        <v>355</v>
      </c>
      <c r="J495" s="66" t="s">
        <v>1475</v>
      </c>
      <c r="K495" s="66" t="s">
        <v>355</v>
      </c>
      <c r="L495" s="66" t="s">
        <v>233</v>
      </c>
      <c r="M495" s="93">
        <v>5063.1000000000004</v>
      </c>
      <c r="N495" s="32"/>
      <c r="O495" s="94">
        <v>50631</v>
      </c>
      <c r="P495" s="71"/>
      <c r="Q495" s="66" t="s">
        <v>359</v>
      </c>
      <c r="R495" s="66" t="s">
        <v>359</v>
      </c>
      <c r="S495" s="66" t="s">
        <v>650</v>
      </c>
      <c r="T495" s="78"/>
      <c r="U495" s="78"/>
      <c r="V495" s="78"/>
      <c r="W495" s="78"/>
      <c r="X495" s="78"/>
      <c r="Y495" s="78"/>
      <c r="Z495" s="78"/>
      <c r="AA495" s="78"/>
      <c r="AB495" s="78"/>
      <c r="AC495" s="96"/>
      <c r="AD495" s="92"/>
      <c r="AE495" s="92"/>
      <c r="AF495" s="32"/>
      <c r="AG495" s="32"/>
    </row>
    <row r="496" spans="2:33">
      <c r="B496" s="87"/>
      <c r="C496" s="88"/>
      <c r="D496" s="88"/>
      <c r="E496" s="88"/>
      <c r="F496" s="56"/>
      <c r="G496" s="66"/>
      <c r="H496" s="194"/>
      <c r="I496" s="56"/>
      <c r="J496" s="56"/>
      <c r="K496" s="56"/>
      <c r="L496" s="56"/>
      <c r="M496" s="58"/>
      <c r="N496" s="32"/>
      <c r="O496" s="90"/>
      <c r="P496" s="60"/>
      <c r="Q496" s="90"/>
      <c r="R496" s="90"/>
      <c r="S496" s="90"/>
      <c r="T496" s="36"/>
      <c r="U496" s="36"/>
      <c r="V496" s="36"/>
      <c r="W496" s="36"/>
      <c r="X496" s="36"/>
      <c r="Y496" s="36"/>
      <c r="Z496" s="36"/>
      <c r="AA496" s="36"/>
      <c r="AB496" s="36"/>
      <c r="AC496" s="92"/>
      <c r="AD496" s="92"/>
      <c r="AE496" s="92"/>
      <c r="AF496" s="32"/>
      <c r="AG496" s="32"/>
    </row>
    <row r="497" spans="2:33">
      <c r="B497" s="87"/>
      <c r="C497" s="88" t="s">
        <v>1476</v>
      </c>
      <c r="D497" s="88"/>
      <c r="E497" s="88"/>
      <c r="F497" s="56"/>
      <c r="G497" s="66"/>
      <c r="H497" s="194"/>
      <c r="I497" s="56"/>
      <c r="J497" s="56"/>
      <c r="K497" s="56"/>
      <c r="L497" s="56"/>
      <c r="M497" s="58"/>
      <c r="N497" s="32"/>
      <c r="O497" s="90"/>
      <c r="P497" s="60"/>
      <c r="Q497" s="90"/>
      <c r="R497" s="90"/>
      <c r="S497" s="90"/>
      <c r="T497" s="36"/>
      <c r="U497" s="36"/>
      <c r="V497" s="36"/>
      <c r="W497" s="36"/>
      <c r="X497" s="36"/>
      <c r="Y497" s="36"/>
      <c r="Z497" s="36"/>
      <c r="AA497" s="36"/>
      <c r="AB497" s="36"/>
      <c r="AC497" s="92"/>
      <c r="AD497" s="92"/>
      <c r="AE497" s="92"/>
      <c r="AF497" s="32"/>
      <c r="AG497" s="32"/>
    </row>
    <row r="498" spans="2:33">
      <c r="B498" s="63">
        <v>100</v>
      </c>
      <c r="C498" s="64" t="s">
        <v>1477</v>
      </c>
      <c r="D498" s="64" t="s">
        <v>1478</v>
      </c>
      <c r="E498" s="64"/>
      <c r="F498" s="66">
        <v>275</v>
      </c>
      <c r="G498" s="66" t="s">
        <v>1479</v>
      </c>
      <c r="H498" s="280"/>
      <c r="I498" s="66" t="s">
        <v>1480</v>
      </c>
      <c r="J498" s="66" t="s">
        <v>1481</v>
      </c>
      <c r="K498" s="66" t="s">
        <v>1480</v>
      </c>
      <c r="L498" s="66" t="s">
        <v>245</v>
      </c>
      <c r="M498" s="93">
        <v>5180</v>
      </c>
      <c r="N498" s="32"/>
      <c r="O498" s="94">
        <v>51800</v>
      </c>
      <c r="P498" s="71"/>
      <c r="Q498" s="94"/>
      <c r="R498" s="94" t="s">
        <v>1482</v>
      </c>
      <c r="S498" s="94" t="s">
        <v>1483</v>
      </c>
      <c r="T498" s="78"/>
      <c r="U498" s="79">
        <v>35832</v>
      </c>
      <c r="V498" s="78" t="s">
        <v>234</v>
      </c>
      <c r="W498" s="78"/>
      <c r="X498" s="78"/>
      <c r="Y498" s="78"/>
      <c r="Z498" s="78"/>
      <c r="AA498" s="78"/>
      <c r="AB498" s="78"/>
      <c r="AC498" s="96"/>
      <c r="AD498" s="92"/>
      <c r="AE498" s="92"/>
      <c r="AF498" s="32"/>
      <c r="AG498" s="32"/>
    </row>
    <row r="499" spans="2:33">
      <c r="B499" s="87"/>
      <c r="C499" s="88"/>
      <c r="D499" s="88"/>
      <c r="E499" s="88"/>
      <c r="F499" s="56"/>
      <c r="G499" s="66"/>
      <c r="H499" s="194"/>
      <c r="I499" s="56"/>
      <c r="J499" s="56"/>
      <c r="K499" s="56"/>
      <c r="L499" s="56"/>
      <c r="M499" s="58"/>
      <c r="N499" s="32"/>
      <c r="O499" s="90"/>
      <c r="P499" s="60"/>
      <c r="Q499" s="90"/>
      <c r="R499" s="90"/>
      <c r="S499" s="90"/>
      <c r="T499" s="36"/>
      <c r="U499" s="36"/>
      <c r="V499" s="36"/>
      <c r="W499" s="36"/>
      <c r="X499" s="36"/>
      <c r="Y499" s="36"/>
      <c r="Z499" s="36"/>
      <c r="AA499" s="36"/>
      <c r="AB499" s="36"/>
      <c r="AC499" s="92"/>
      <c r="AD499" s="92"/>
      <c r="AE499" s="92"/>
      <c r="AF499" s="32"/>
      <c r="AG499" s="32"/>
    </row>
    <row r="500" spans="2:33">
      <c r="B500" s="87"/>
      <c r="C500" s="88" t="s">
        <v>1484</v>
      </c>
      <c r="D500" s="88"/>
      <c r="E500" s="88"/>
      <c r="F500" s="56"/>
      <c r="G500" s="66"/>
      <c r="H500" s="194"/>
      <c r="I500" s="56"/>
      <c r="J500" s="56"/>
      <c r="K500" s="56"/>
      <c r="L500" s="56"/>
      <c r="M500" s="58"/>
      <c r="N500" s="32"/>
      <c r="O500" s="90"/>
      <c r="P500" s="60"/>
      <c r="Q500" s="90"/>
      <c r="R500" s="90"/>
      <c r="S500" s="90"/>
      <c r="T500" s="36"/>
      <c r="U500" s="36"/>
      <c r="V500" s="36"/>
      <c r="W500" s="36"/>
      <c r="X500" s="36"/>
      <c r="Y500" s="36"/>
      <c r="Z500" s="36"/>
      <c r="AA500" s="36"/>
      <c r="AB500" s="36"/>
      <c r="AC500" s="92"/>
      <c r="AD500" s="92"/>
      <c r="AE500" s="92"/>
      <c r="AF500" s="32"/>
      <c r="AG500" s="32"/>
    </row>
    <row r="501" spans="2:33">
      <c r="B501" s="63">
        <v>101</v>
      </c>
      <c r="C501" s="64" t="s">
        <v>1485</v>
      </c>
      <c r="D501" s="64" t="s">
        <v>1486</v>
      </c>
      <c r="E501" s="64"/>
      <c r="F501" s="66">
        <v>265</v>
      </c>
      <c r="G501" s="66" t="s">
        <v>1487</v>
      </c>
      <c r="H501" s="280"/>
      <c r="I501" s="66" t="s">
        <v>422</v>
      </c>
      <c r="J501" s="66" t="s">
        <v>1488</v>
      </c>
      <c r="K501" s="66" t="s">
        <v>422</v>
      </c>
      <c r="L501" s="66" t="s">
        <v>245</v>
      </c>
      <c r="M501" s="93">
        <v>8279.7999999999993</v>
      </c>
      <c r="N501" s="32"/>
      <c r="O501" s="94">
        <v>82798</v>
      </c>
      <c r="P501" s="71"/>
      <c r="Q501" s="94"/>
      <c r="R501" s="94" t="s">
        <v>423</v>
      </c>
      <c r="S501" s="94" t="s">
        <v>1489</v>
      </c>
      <c r="T501" s="78"/>
      <c r="U501" s="79">
        <v>35859</v>
      </c>
      <c r="V501" s="78" t="s">
        <v>234</v>
      </c>
      <c r="W501" s="78"/>
      <c r="X501" s="78"/>
      <c r="Y501" s="78"/>
      <c r="Z501" s="78"/>
      <c r="AA501" s="78"/>
      <c r="AB501" s="78"/>
      <c r="AC501" s="96"/>
      <c r="AD501" s="92"/>
      <c r="AE501" s="92"/>
      <c r="AF501" s="32"/>
      <c r="AG501" s="32"/>
    </row>
    <row r="502" spans="2:33">
      <c r="B502" s="87"/>
      <c r="C502" s="88"/>
      <c r="D502" s="88"/>
      <c r="E502" s="88"/>
      <c r="F502" s="56"/>
      <c r="G502" s="66"/>
      <c r="H502" s="194"/>
      <c r="I502" s="56"/>
      <c r="J502" s="56"/>
      <c r="K502" s="56"/>
      <c r="L502" s="56"/>
      <c r="M502" s="58"/>
      <c r="N502" s="32"/>
      <c r="O502" s="90"/>
      <c r="P502" s="60"/>
      <c r="Q502" s="90"/>
      <c r="R502" s="90"/>
      <c r="S502" s="90"/>
      <c r="T502" s="36"/>
      <c r="U502" s="74"/>
      <c r="V502" s="36"/>
      <c r="W502" s="36"/>
      <c r="X502" s="36"/>
      <c r="Y502" s="36"/>
      <c r="Z502" s="36"/>
      <c r="AA502" s="36"/>
      <c r="AB502" s="36"/>
      <c r="AC502" s="92"/>
      <c r="AD502" s="92"/>
      <c r="AE502" s="92"/>
      <c r="AF502" s="32"/>
      <c r="AG502" s="32"/>
    </row>
    <row r="503" spans="2:33">
      <c r="B503" s="87"/>
      <c r="C503" s="88" t="s">
        <v>1490</v>
      </c>
      <c r="D503" s="88"/>
      <c r="E503" s="88"/>
      <c r="F503" s="56"/>
      <c r="G503" s="66"/>
      <c r="H503" s="194"/>
      <c r="I503" s="56"/>
      <c r="J503" s="56"/>
      <c r="K503" s="56"/>
      <c r="L503" s="56"/>
      <c r="M503" s="58"/>
      <c r="N503" s="32"/>
      <c r="O503" s="90"/>
      <c r="P503" s="60"/>
      <c r="Q503" s="90"/>
      <c r="R503" s="90"/>
      <c r="S503" s="90"/>
      <c r="T503" s="36"/>
      <c r="U503" s="74"/>
      <c r="V503" s="36"/>
      <c r="W503" s="36"/>
      <c r="X503" s="36"/>
      <c r="Y503" s="36"/>
      <c r="Z503" s="36"/>
      <c r="AA503" s="36"/>
      <c r="AB503" s="36"/>
      <c r="AC503" s="92"/>
      <c r="AD503" s="92"/>
      <c r="AE503" s="92"/>
      <c r="AF503" s="32"/>
      <c r="AG503" s="32"/>
    </row>
    <row r="504" spans="2:33">
      <c r="B504" s="63">
        <v>102</v>
      </c>
      <c r="C504" s="65" t="s">
        <v>1491</v>
      </c>
      <c r="D504" s="65" t="s">
        <v>1492</v>
      </c>
      <c r="E504" s="65"/>
      <c r="F504" s="66">
        <v>511</v>
      </c>
      <c r="G504" s="66" t="s">
        <v>1487</v>
      </c>
      <c r="H504" s="280"/>
      <c r="I504" s="66" t="s">
        <v>232</v>
      </c>
      <c r="J504" s="66" t="s">
        <v>1493</v>
      </c>
      <c r="K504" s="66" t="s">
        <v>232</v>
      </c>
      <c r="L504" s="66" t="s">
        <v>245</v>
      </c>
      <c r="M504" s="93">
        <v>1243777.1000000001</v>
      </c>
      <c r="N504" s="32"/>
      <c r="O504" s="131">
        <v>12437771</v>
      </c>
      <c r="P504" s="71"/>
      <c r="Q504" s="72"/>
      <c r="R504" s="73"/>
      <c r="S504" s="73"/>
      <c r="T504" s="36"/>
      <c r="U504" s="36"/>
      <c r="V504" s="36"/>
      <c r="W504" s="74"/>
      <c r="X504" s="36"/>
      <c r="Y504" s="36"/>
      <c r="Z504" s="36"/>
      <c r="AA504" s="74"/>
      <c r="AB504" s="36"/>
      <c r="AC504" s="75"/>
      <c r="AD504" s="75"/>
      <c r="AE504" s="75"/>
      <c r="AF504" s="108" t="s">
        <v>273</v>
      </c>
      <c r="AG504" s="32"/>
    </row>
    <row r="505" spans="2:33">
      <c r="B505" s="87"/>
      <c r="C505" s="88"/>
      <c r="D505" s="88"/>
      <c r="E505" s="88"/>
      <c r="F505" s="56"/>
      <c r="G505" s="66"/>
      <c r="H505" s="194"/>
      <c r="I505" s="56"/>
      <c r="J505" s="56"/>
      <c r="K505" s="56"/>
      <c r="L505" s="56"/>
      <c r="M505" s="58"/>
      <c r="N505" s="32"/>
      <c r="O505" s="90"/>
      <c r="P505" s="60"/>
      <c r="Q505" s="90"/>
      <c r="R505" s="90"/>
      <c r="S505" s="90"/>
      <c r="T505" s="36"/>
      <c r="U505" s="36"/>
      <c r="V505" s="36"/>
      <c r="W505" s="36"/>
      <c r="X505" s="36"/>
      <c r="Y505" s="36"/>
      <c r="Z505" s="36"/>
      <c r="AA505" s="36"/>
      <c r="AB505" s="36"/>
      <c r="AC505" s="92"/>
      <c r="AD505" s="92"/>
      <c r="AE505" s="92"/>
      <c r="AF505" s="32"/>
      <c r="AG505" s="32"/>
    </row>
    <row r="506" spans="2:33">
      <c r="B506" s="87"/>
      <c r="C506" s="88" t="s">
        <v>1494</v>
      </c>
      <c r="D506" s="88"/>
      <c r="E506" s="88"/>
      <c r="F506" s="56"/>
      <c r="G506" s="66"/>
      <c r="H506" s="194"/>
      <c r="I506" s="56"/>
      <c r="J506" s="56"/>
      <c r="K506" s="56"/>
      <c r="L506" s="56"/>
      <c r="M506" s="58"/>
      <c r="N506" s="32"/>
      <c r="O506" s="90"/>
      <c r="P506" s="60"/>
      <c r="Q506" s="90"/>
      <c r="R506" s="90"/>
      <c r="S506" s="90"/>
      <c r="T506" s="36"/>
      <c r="U506" s="36"/>
      <c r="V506" s="36"/>
      <c r="W506" s="36"/>
      <c r="X506" s="36"/>
      <c r="Y506" s="36"/>
      <c r="Z506" s="36"/>
      <c r="AA506" s="36"/>
      <c r="AB506" s="36"/>
      <c r="AC506" s="92"/>
      <c r="AD506" s="92"/>
      <c r="AE506" s="92"/>
      <c r="AF506" s="32"/>
      <c r="AG506" s="32"/>
    </row>
    <row r="507" spans="2:33">
      <c r="B507" s="63">
        <v>103</v>
      </c>
      <c r="C507" s="65" t="s">
        <v>1495</v>
      </c>
      <c r="D507" s="65" t="s">
        <v>1496</v>
      </c>
      <c r="E507" s="65"/>
      <c r="F507" s="66">
        <v>512</v>
      </c>
      <c r="G507" s="66" t="s">
        <v>1497</v>
      </c>
      <c r="H507" s="280"/>
      <c r="I507" s="66" t="s">
        <v>759</v>
      </c>
      <c r="J507" s="66" t="s">
        <v>1498</v>
      </c>
      <c r="K507" s="66" t="s">
        <v>759</v>
      </c>
      <c r="L507" s="66" t="s">
        <v>245</v>
      </c>
      <c r="M507" s="93">
        <v>591310.9</v>
      </c>
      <c r="N507" s="32"/>
      <c r="O507" s="131">
        <v>5913109</v>
      </c>
      <c r="P507" s="71"/>
      <c r="Q507" s="72"/>
      <c r="R507" s="73"/>
      <c r="S507" s="73"/>
      <c r="T507" s="36"/>
      <c r="U507" s="36"/>
      <c r="V507" s="36"/>
      <c r="W507" s="74"/>
      <c r="X507" s="36"/>
      <c r="Y507" s="36"/>
      <c r="Z507" s="36"/>
      <c r="AA507" s="74"/>
      <c r="AB507" s="36"/>
      <c r="AC507" s="75"/>
      <c r="AD507" s="75"/>
      <c r="AE507" s="75"/>
      <c r="AF507" s="32" t="s">
        <v>1499</v>
      </c>
      <c r="AG507" s="32"/>
    </row>
    <row r="508" spans="2:33">
      <c r="B508" s="87"/>
      <c r="C508" s="106"/>
      <c r="D508" s="106"/>
      <c r="E508" s="106"/>
      <c r="F508" s="56"/>
      <c r="G508" s="56"/>
      <c r="H508" s="194"/>
      <c r="I508" s="56"/>
      <c r="J508" s="56"/>
      <c r="K508" s="56"/>
      <c r="L508" s="56"/>
      <c r="M508" s="58"/>
      <c r="N508" s="32"/>
      <c r="O508" s="72"/>
      <c r="P508" s="60"/>
      <c r="Q508" s="72"/>
      <c r="R508" s="73"/>
      <c r="S508" s="73"/>
      <c r="T508" s="36"/>
      <c r="U508" s="36"/>
      <c r="V508" s="36"/>
      <c r="W508" s="74"/>
      <c r="X508" s="36"/>
      <c r="Y508" s="36"/>
      <c r="Z508" s="36"/>
      <c r="AA508" s="74"/>
      <c r="AB508" s="36"/>
      <c r="AC508" s="75"/>
      <c r="AD508" s="75"/>
      <c r="AE508" s="75"/>
      <c r="AF508" s="32"/>
      <c r="AG508" s="32"/>
    </row>
    <row r="509" spans="2:33">
      <c r="B509" s="87"/>
      <c r="C509" s="106" t="s">
        <v>1500</v>
      </c>
      <c r="D509" s="106"/>
      <c r="E509" s="106"/>
      <c r="F509" s="56"/>
      <c r="G509" s="56"/>
      <c r="H509" s="194"/>
      <c r="I509" s="56"/>
      <c r="J509" s="56"/>
      <c r="K509" s="56"/>
      <c r="L509" s="56"/>
      <c r="M509" s="58"/>
      <c r="N509" s="32"/>
      <c r="O509" s="72"/>
      <c r="P509" s="60"/>
      <c r="Q509" s="72"/>
      <c r="R509" s="73"/>
      <c r="S509" s="73"/>
      <c r="T509" s="36"/>
      <c r="U509" s="36"/>
      <c r="V509" s="36"/>
      <c r="W509" s="74"/>
      <c r="X509" s="36"/>
      <c r="Y509" s="36"/>
      <c r="Z509" s="36"/>
      <c r="AA509" s="74"/>
      <c r="AB509" s="36"/>
      <c r="AC509" s="75"/>
      <c r="AD509" s="75"/>
      <c r="AE509" s="75"/>
      <c r="AF509" s="32"/>
      <c r="AG509" s="32"/>
    </row>
    <row r="510" spans="2:33">
      <c r="B510" s="63">
        <v>104</v>
      </c>
      <c r="C510" s="64" t="s">
        <v>1501</v>
      </c>
      <c r="D510" s="64" t="s">
        <v>1502</v>
      </c>
      <c r="E510" s="64"/>
      <c r="F510" s="66">
        <v>434</v>
      </c>
      <c r="G510" s="66" t="s">
        <v>1503</v>
      </c>
      <c r="H510" s="280"/>
      <c r="I510" s="66" t="s">
        <v>232</v>
      </c>
      <c r="J510" s="66" t="s">
        <v>1504</v>
      </c>
      <c r="K510" s="66" t="s">
        <v>232</v>
      </c>
      <c r="L510" s="66" t="s">
        <v>350</v>
      </c>
      <c r="M510" s="93">
        <v>43910</v>
      </c>
      <c r="N510" s="32"/>
      <c r="O510" s="94">
        <v>439100</v>
      </c>
      <c r="P510" s="71"/>
      <c r="Q510" s="66"/>
      <c r="R510" s="66" t="s">
        <v>292</v>
      </c>
      <c r="S510" s="66" t="s">
        <v>1158</v>
      </c>
      <c r="T510" s="78"/>
      <c r="U510" s="78"/>
      <c r="V510" s="78"/>
      <c r="W510" s="78"/>
      <c r="X510" s="78"/>
      <c r="Y510" s="78"/>
      <c r="Z510" s="78"/>
      <c r="AA510" s="78"/>
      <c r="AB510" s="78"/>
      <c r="AC510" s="96"/>
      <c r="AD510" s="92"/>
      <c r="AE510" s="92"/>
      <c r="AF510" s="32" t="s">
        <v>1505</v>
      </c>
      <c r="AG510" s="32"/>
    </row>
    <row r="511" spans="2:33">
      <c r="B511" s="87"/>
      <c r="C511" s="106"/>
      <c r="D511" s="106"/>
      <c r="E511" s="106"/>
      <c r="F511" s="56"/>
      <c r="G511" s="66"/>
      <c r="H511" s="194"/>
      <c r="I511" s="56"/>
      <c r="J511" s="56"/>
      <c r="K511" s="56"/>
      <c r="L511" s="56"/>
      <c r="M511" s="58"/>
      <c r="N511" s="32"/>
      <c r="O511" s="72"/>
      <c r="P511" s="60"/>
      <c r="Q511" s="72"/>
      <c r="R511" s="73"/>
      <c r="S511" s="73"/>
      <c r="T511" s="36"/>
      <c r="U511" s="36"/>
      <c r="V511" s="36"/>
      <c r="W511" s="74"/>
      <c r="X511" s="36"/>
      <c r="Y511" s="36"/>
      <c r="Z511" s="36"/>
      <c r="AA511" s="74"/>
      <c r="AB511" s="36"/>
      <c r="AC511" s="75"/>
      <c r="AD511" s="75"/>
      <c r="AE511" s="75"/>
      <c r="AF511" s="32"/>
      <c r="AG511" s="32"/>
    </row>
    <row r="512" spans="2:33">
      <c r="B512" s="87"/>
      <c r="C512" s="106" t="s">
        <v>1506</v>
      </c>
      <c r="D512" s="106"/>
      <c r="E512" s="106"/>
      <c r="F512" s="56"/>
      <c r="G512" s="66"/>
      <c r="H512" s="194"/>
      <c r="I512" s="56"/>
      <c r="J512" s="56"/>
      <c r="K512" s="56"/>
      <c r="L512" s="56"/>
      <c r="M512" s="58"/>
      <c r="N512" s="32"/>
      <c r="O512" s="72"/>
      <c r="P512" s="60"/>
      <c r="Q512" s="72"/>
      <c r="R512" s="73"/>
      <c r="S512" s="73"/>
      <c r="T512" s="36"/>
      <c r="U512" s="36"/>
      <c r="V512" s="36"/>
      <c r="W512" s="74"/>
      <c r="X512" s="36"/>
      <c r="Y512" s="36"/>
      <c r="Z512" s="36"/>
      <c r="AA512" s="74"/>
      <c r="AB512" s="36"/>
      <c r="AC512" s="75"/>
      <c r="AD512" s="75"/>
      <c r="AE512" s="75"/>
      <c r="AF512" s="32"/>
      <c r="AG512" s="32"/>
    </row>
    <row r="513" spans="2:33">
      <c r="B513" s="63">
        <v>105</v>
      </c>
      <c r="C513" s="64" t="s">
        <v>1507</v>
      </c>
      <c r="D513" s="64" t="s">
        <v>1508</v>
      </c>
      <c r="E513" s="64"/>
      <c r="F513" s="66">
        <v>456</v>
      </c>
      <c r="G513" s="66" t="s">
        <v>1509</v>
      </c>
      <c r="H513" s="280"/>
      <c r="I513" s="66" t="s">
        <v>349</v>
      </c>
      <c r="J513" s="66" t="s">
        <v>1510</v>
      </c>
      <c r="K513" s="66" t="s">
        <v>349</v>
      </c>
      <c r="L513" s="66" t="s">
        <v>380</v>
      </c>
      <c r="M513" s="93">
        <v>16455.099999999999</v>
      </c>
      <c r="N513" s="32"/>
      <c r="O513" s="94">
        <v>144784</v>
      </c>
      <c r="P513" s="71"/>
      <c r="Q513" s="94"/>
      <c r="R513" s="94"/>
      <c r="S513" s="94" t="s">
        <v>351</v>
      </c>
      <c r="T513" s="94" t="s">
        <v>313</v>
      </c>
      <c r="U513" s="78"/>
      <c r="V513" s="78"/>
      <c r="W513" s="78" t="s">
        <v>862</v>
      </c>
      <c r="X513" s="78"/>
      <c r="Y513" s="78"/>
      <c r="Z513" s="78"/>
      <c r="AA513" s="78">
        <v>64154</v>
      </c>
      <c r="AB513" s="79">
        <v>35769</v>
      </c>
      <c r="AC513" s="95">
        <v>769</v>
      </c>
      <c r="AD513" s="95"/>
      <c r="AE513" s="80">
        <v>35828</v>
      </c>
      <c r="AF513" s="75"/>
      <c r="AG513" s="32"/>
    </row>
    <row r="514" spans="2:33">
      <c r="B514" s="87"/>
      <c r="C514" s="106"/>
      <c r="D514" s="106"/>
      <c r="E514" s="106"/>
      <c r="F514" s="56"/>
      <c r="G514" s="66"/>
      <c r="H514" s="194"/>
      <c r="I514" s="56"/>
      <c r="J514" s="56"/>
      <c r="K514" s="56"/>
      <c r="L514" s="56"/>
      <c r="M514" s="58"/>
      <c r="N514" s="32"/>
      <c r="O514" s="72"/>
      <c r="P514" s="60"/>
      <c r="Q514" s="72"/>
      <c r="R514" s="73"/>
      <c r="S514" s="73"/>
      <c r="T514" s="36"/>
      <c r="U514" s="36"/>
      <c r="V514" s="36"/>
      <c r="W514" s="74"/>
      <c r="X514" s="36"/>
      <c r="Y514" s="36"/>
      <c r="Z514" s="36"/>
      <c r="AA514" s="74"/>
      <c r="AB514" s="36"/>
      <c r="AC514" s="75"/>
      <c r="AD514" s="75"/>
      <c r="AE514" s="75"/>
      <c r="AF514" s="32"/>
      <c r="AG514" s="32"/>
    </row>
    <row r="515" spans="2:33">
      <c r="B515" s="87"/>
      <c r="C515" s="106" t="s">
        <v>1511</v>
      </c>
      <c r="D515" s="106"/>
      <c r="E515" s="106"/>
      <c r="F515" s="56"/>
      <c r="G515" s="66"/>
      <c r="H515" s="194"/>
      <c r="I515" s="56"/>
      <c r="J515" s="56"/>
      <c r="K515" s="56"/>
      <c r="L515" s="56"/>
      <c r="M515" s="58"/>
      <c r="N515" s="32"/>
      <c r="O515" s="72"/>
      <c r="P515" s="60"/>
      <c r="Q515" s="72"/>
      <c r="R515" s="73"/>
      <c r="S515" s="73"/>
      <c r="T515" s="36"/>
      <c r="U515" s="36"/>
      <c r="V515" s="36"/>
      <c r="W515" s="74"/>
      <c r="X515" s="36"/>
      <c r="Y515" s="36"/>
      <c r="Z515" s="36"/>
      <c r="AA515" s="74"/>
      <c r="AB515" s="36"/>
      <c r="AC515" s="75"/>
      <c r="AD515" s="75"/>
      <c r="AE515" s="75"/>
      <c r="AF515" s="32"/>
      <c r="AG515" s="32"/>
    </row>
    <row r="516" spans="2:33">
      <c r="B516" s="63">
        <v>106</v>
      </c>
      <c r="C516" s="64" t="s">
        <v>1512</v>
      </c>
      <c r="D516" s="64" t="s">
        <v>1513</v>
      </c>
      <c r="E516" s="64"/>
      <c r="F516" s="66">
        <v>27</v>
      </c>
      <c r="G516" s="66" t="s">
        <v>1509</v>
      </c>
      <c r="H516" s="280"/>
      <c r="I516" s="66" t="s">
        <v>232</v>
      </c>
      <c r="J516" s="66" t="s">
        <v>1514</v>
      </c>
      <c r="K516" s="66" t="s">
        <v>232</v>
      </c>
      <c r="L516" s="66" t="s">
        <v>233</v>
      </c>
      <c r="M516" s="93">
        <v>2627.8</v>
      </c>
      <c r="N516" s="32"/>
      <c r="O516" s="94">
        <v>26278</v>
      </c>
      <c r="P516" s="71"/>
      <c r="Q516" s="66"/>
      <c r="R516" s="66" t="s">
        <v>323</v>
      </c>
      <c r="S516" s="66" t="s">
        <v>1515</v>
      </c>
      <c r="T516" s="78"/>
      <c r="U516" s="78"/>
      <c r="V516" s="78"/>
      <c r="W516" s="78"/>
      <c r="X516" s="78"/>
      <c r="Y516" s="78"/>
      <c r="Z516" s="78"/>
      <c r="AA516" s="78"/>
      <c r="AB516" s="78"/>
      <c r="AC516" s="96"/>
      <c r="AD516" s="92"/>
      <c r="AE516" s="92"/>
      <c r="AF516" s="32"/>
      <c r="AG516" s="32" t="s">
        <v>1516</v>
      </c>
    </row>
    <row r="517" spans="2:33">
      <c r="B517" s="87"/>
      <c r="C517" s="106"/>
      <c r="D517" s="106"/>
      <c r="E517" s="106"/>
      <c r="F517" s="56"/>
      <c r="G517" s="66"/>
      <c r="H517" s="194"/>
      <c r="I517" s="56"/>
      <c r="J517" s="56"/>
      <c r="K517" s="56"/>
      <c r="L517" s="56"/>
      <c r="M517" s="58"/>
      <c r="N517" s="32"/>
      <c r="O517" s="72"/>
      <c r="P517" s="60"/>
      <c r="Q517" s="72"/>
      <c r="R517" s="73"/>
      <c r="S517" s="73"/>
      <c r="T517" s="36"/>
      <c r="U517" s="36"/>
      <c r="V517" s="36"/>
      <c r="W517" s="74"/>
      <c r="X517" s="36"/>
      <c r="Y517" s="36"/>
      <c r="Z517" s="36"/>
      <c r="AA517" s="74"/>
      <c r="AB517" s="36"/>
      <c r="AC517" s="75"/>
      <c r="AD517" s="75"/>
      <c r="AE517" s="75"/>
      <c r="AF517" s="32"/>
      <c r="AG517" s="32"/>
    </row>
    <row r="518" spans="2:33">
      <c r="B518" s="87"/>
      <c r="C518" s="106" t="s">
        <v>1517</v>
      </c>
      <c r="D518" s="106"/>
      <c r="E518" s="106"/>
      <c r="F518" s="56"/>
      <c r="G518" s="66"/>
      <c r="H518" s="194"/>
      <c r="I518" s="56"/>
      <c r="J518" s="56"/>
      <c r="K518" s="56"/>
      <c r="L518" s="56"/>
      <c r="M518" s="58"/>
      <c r="N518" s="32"/>
      <c r="O518" s="72"/>
      <c r="P518" s="60"/>
      <c r="Q518" s="72"/>
      <c r="R518" s="73"/>
      <c r="S518" s="73"/>
      <c r="T518" s="36"/>
      <c r="U518" s="36"/>
      <c r="V518" s="36"/>
      <c r="W518" s="74"/>
      <c r="X518" s="36"/>
      <c r="Y518" s="36"/>
      <c r="Z518" s="36"/>
      <c r="AA518" s="74"/>
      <c r="AB518" s="36"/>
      <c r="AC518" s="75"/>
      <c r="AD518" s="75"/>
      <c r="AE518" s="75"/>
      <c r="AF518" s="32"/>
      <c r="AG518" s="32"/>
    </row>
    <row r="519" spans="2:33">
      <c r="B519" s="63">
        <v>107</v>
      </c>
      <c r="C519" s="64" t="s">
        <v>1518</v>
      </c>
      <c r="D519" s="64" t="s">
        <v>1519</v>
      </c>
      <c r="E519" s="64"/>
      <c r="F519" s="66">
        <v>64</v>
      </c>
      <c r="G519" s="66" t="s">
        <v>1520</v>
      </c>
      <c r="H519" s="280"/>
      <c r="I519" s="66" t="s">
        <v>232</v>
      </c>
      <c r="J519" s="66" t="s">
        <v>1521</v>
      </c>
      <c r="K519" s="66" t="s">
        <v>232</v>
      </c>
      <c r="L519" s="66" t="s">
        <v>259</v>
      </c>
      <c r="M519" s="93">
        <v>12970.1</v>
      </c>
      <c r="N519" s="32"/>
      <c r="O519" s="94">
        <v>129701</v>
      </c>
      <c r="P519" s="71"/>
      <c r="Q519" s="66"/>
      <c r="R519" s="66" t="s">
        <v>323</v>
      </c>
      <c r="S519" s="66" t="s">
        <v>1522</v>
      </c>
      <c r="T519" s="78"/>
      <c r="U519" s="78"/>
      <c r="V519" s="78"/>
      <c r="W519" s="78"/>
      <c r="X519" s="78"/>
      <c r="Y519" s="78"/>
      <c r="Z519" s="78"/>
      <c r="AA519" s="78"/>
      <c r="AB519" s="78"/>
      <c r="AC519" s="96"/>
      <c r="AD519" s="92"/>
      <c r="AE519" s="92"/>
      <c r="AF519" s="32"/>
      <c r="AG519" s="32"/>
    </row>
    <row r="520" spans="2:33">
      <c r="B520" s="87"/>
      <c r="C520" s="88"/>
      <c r="D520" s="88"/>
      <c r="E520" s="88"/>
      <c r="F520" s="56"/>
      <c r="G520" s="66"/>
      <c r="H520" s="194"/>
      <c r="I520" s="56"/>
      <c r="J520" s="56"/>
      <c r="K520" s="56"/>
      <c r="L520" s="56"/>
      <c r="M520" s="58"/>
      <c r="N520" s="32"/>
      <c r="O520" s="90"/>
      <c r="P520" s="60"/>
      <c r="Q520" s="56"/>
      <c r="R520" s="56"/>
      <c r="S520" s="56"/>
      <c r="T520" s="36"/>
      <c r="U520" s="36"/>
      <c r="V520" s="36"/>
      <c r="W520" s="36"/>
      <c r="X520" s="36"/>
      <c r="Y520" s="36"/>
      <c r="Z520" s="36"/>
      <c r="AA520" s="36"/>
      <c r="AB520" s="36"/>
      <c r="AC520" s="92"/>
      <c r="AD520" s="92"/>
      <c r="AE520" s="92"/>
      <c r="AF520" s="32"/>
      <c r="AG520" s="32"/>
    </row>
    <row r="521" spans="2:33">
      <c r="B521" s="87"/>
      <c r="C521" s="88" t="s">
        <v>1523</v>
      </c>
      <c r="D521" s="88"/>
      <c r="E521" s="88"/>
      <c r="F521" s="56"/>
      <c r="G521" s="66"/>
      <c r="H521" s="194"/>
      <c r="I521" s="56"/>
      <c r="J521" s="56"/>
      <c r="K521" s="56"/>
      <c r="L521" s="56"/>
      <c r="M521" s="58"/>
      <c r="N521" s="32"/>
      <c r="O521" s="90"/>
      <c r="P521" s="60"/>
      <c r="Q521" s="56"/>
      <c r="R521" s="56"/>
      <c r="S521" s="56"/>
      <c r="T521" s="36"/>
      <c r="U521" s="36"/>
      <c r="V521" s="36"/>
      <c r="W521" s="36"/>
      <c r="X521" s="36"/>
      <c r="Y521" s="36"/>
      <c r="Z521" s="36"/>
      <c r="AA521" s="36"/>
      <c r="AB521" s="36"/>
      <c r="AC521" s="92"/>
      <c r="AD521" s="92"/>
      <c r="AE521" s="92"/>
      <c r="AF521" s="32"/>
      <c r="AG521" s="32"/>
    </row>
    <row r="522" spans="2:33">
      <c r="B522" s="63">
        <v>108</v>
      </c>
      <c r="C522" s="64" t="s">
        <v>1524</v>
      </c>
      <c r="D522" s="64" t="s">
        <v>1525</v>
      </c>
      <c r="E522" s="64"/>
      <c r="F522" s="66">
        <v>186</v>
      </c>
      <c r="G522" s="66" t="s">
        <v>1526</v>
      </c>
      <c r="H522" s="280"/>
      <c r="I522" s="66" t="s">
        <v>406</v>
      </c>
      <c r="J522" s="66" t="s">
        <v>1527</v>
      </c>
      <c r="K522" s="66" t="s">
        <v>406</v>
      </c>
      <c r="L522" s="66" t="s">
        <v>259</v>
      </c>
      <c r="M522" s="93">
        <v>22831.4</v>
      </c>
      <c r="N522" s="32"/>
      <c r="O522" s="94">
        <v>228314</v>
      </c>
      <c r="P522" s="71"/>
      <c r="Q522" s="66"/>
      <c r="R522" s="66" t="s">
        <v>292</v>
      </c>
      <c r="S522" s="66" t="s">
        <v>899</v>
      </c>
      <c r="T522" s="78"/>
      <c r="U522" s="78"/>
      <c r="V522" s="78"/>
      <c r="W522" s="78"/>
      <c r="X522" s="78"/>
      <c r="Y522" s="78"/>
      <c r="Z522" s="78"/>
      <c r="AA522" s="78"/>
      <c r="AB522" s="78"/>
      <c r="AC522" s="96"/>
      <c r="AD522" s="92"/>
      <c r="AE522" s="92"/>
      <c r="AF522" s="32"/>
      <c r="AG522" s="32"/>
    </row>
    <row r="523" spans="2:33">
      <c r="B523" s="87"/>
      <c r="C523" s="88"/>
      <c r="D523" s="88"/>
      <c r="E523" s="88"/>
      <c r="F523" s="56"/>
      <c r="G523" s="66"/>
      <c r="H523" s="194"/>
      <c r="I523" s="56"/>
      <c r="J523" s="56"/>
      <c r="K523" s="56"/>
      <c r="L523" s="56"/>
      <c r="M523" s="58"/>
      <c r="N523" s="32"/>
      <c r="O523" s="90"/>
      <c r="P523" s="60"/>
      <c r="Q523" s="56"/>
      <c r="R523" s="56"/>
      <c r="S523" s="56"/>
      <c r="T523" s="36"/>
      <c r="U523" s="36"/>
      <c r="V523" s="36"/>
      <c r="W523" s="36"/>
      <c r="X523" s="36"/>
      <c r="Y523" s="36"/>
      <c r="Z523" s="36"/>
      <c r="AA523" s="36"/>
      <c r="AB523" s="36"/>
      <c r="AC523" s="92"/>
      <c r="AD523" s="92"/>
      <c r="AE523" s="92"/>
      <c r="AF523" s="32"/>
      <c r="AG523" s="32"/>
    </row>
    <row r="524" spans="2:33">
      <c r="B524" s="87"/>
      <c r="C524" s="88" t="s">
        <v>1528</v>
      </c>
      <c r="D524" s="88"/>
      <c r="E524" s="88"/>
      <c r="F524" s="56"/>
      <c r="G524" s="66"/>
      <c r="H524" s="194"/>
      <c r="I524" s="56"/>
      <c r="J524" s="56"/>
      <c r="K524" s="56"/>
      <c r="L524" s="56"/>
      <c r="M524" s="58"/>
      <c r="N524" s="32"/>
      <c r="O524" s="90"/>
      <c r="P524" s="60"/>
      <c r="Q524" s="56"/>
      <c r="R524" s="56"/>
      <c r="S524" s="56"/>
      <c r="T524" s="36"/>
      <c r="U524" s="36"/>
      <c r="V524" s="36"/>
      <c r="W524" s="36"/>
      <c r="X524" s="36"/>
      <c r="Y524" s="36"/>
      <c r="Z524" s="36"/>
      <c r="AA524" s="36"/>
      <c r="AB524" s="36"/>
      <c r="AC524" s="92"/>
      <c r="AD524" s="92"/>
      <c r="AE524" s="92"/>
      <c r="AF524" s="32"/>
      <c r="AG524" s="32"/>
    </row>
    <row r="525" spans="2:33">
      <c r="B525" s="63">
        <v>109</v>
      </c>
      <c r="C525" s="64" t="s">
        <v>1529</v>
      </c>
      <c r="D525" s="64" t="s">
        <v>1530</v>
      </c>
      <c r="E525" s="64"/>
      <c r="F525" s="63">
        <v>58</v>
      </c>
      <c r="G525" s="66" t="s">
        <v>1531</v>
      </c>
      <c r="H525" s="280"/>
      <c r="I525" s="63" t="s">
        <v>232</v>
      </c>
      <c r="J525" s="63" t="s">
        <v>1532</v>
      </c>
      <c r="K525" s="63" t="s">
        <v>232</v>
      </c>
      <c r="L525" s="63" t="s">
        <v>233</v>
      </c>
      <c r="M525" s="226">
        <v>5587.1</v>
      </c>
      <c r="N525" s="32"/>
      <c r="O525" s="103">
        <v>55871</v>
      </c>
      <c r="P525" s="71"/>
      <c r="Q525" s="66"/>
      <c r="R525" s="66" t="s">
        <v>292</v>
      </c>
      <c r="S525" s="66" t="s">
        <v>809</v>
      </c>
      <c r="T525" s="78"/>
      <c r="U525" s="78"/>
      <c r="V525" s="78"/>
      <c r="W525" s="78"/>
      <c r="X525" s="78"/>
      <c r="Y525" s="78"/>
      <c r="Z525" s="78"/>
      <c r="AA525" s="78"/>
      <c r="AB525" s="78"/>
      <c r="AC525" s="96"/>
      <c r="AD525" s="92"/>
      <c r="AE525" s="92"/>
      <c r="AF525" s="32"/>
      <c r="AG525" s="32"/>
    </row>
    <row r="526" spans="2:33">
      <c r="B526" s="87"/>
      <c r="C526" s="88"/>
      <c r="D526" s="88"/>
      <c r="E526" s="88"/>
      <c r="F526" s="87"/>
      <c r="G526" s="66"/>
      <c r="H526" s="194"/>
      <c r="I526" s="87"/>
      <c r="J526" s="87"/>
      <c r="K526" s="87"/>
      <c r="L526" s="87"/>
      <c r="M526" s="89"/>
      <c r="N526" s="32"/>
      <c r="O526" s="227"/>
      <c r="P526" s="60"/>
      <c r="Q526" s="56"/>
      <c r="R526" s="56"/>
      <c r="S526" s="56"/>
      <c r="T526" s="36"/>
      <c r="U526" s="36"/>
      <c r="V526" s="36"/>
      <c r="W526" s="36"/>
      <c r="X526" s="36"/>
      <c r="Y526" s="36"/>
      <c r="Z526" s="36"/>
      <c r="AA526" s="36"/>
      <c r="AB526" s="36"/>
      <c r="AC526" s="92"/>
      <c r="AD526" s="92"/>
      <c r="AE526" s="92"/>
      <c r="AF526" s="32"/>
      <c r="AG526" s="32"/>
    </row>
    <row r="527" spans="2:33">
      <c r="B527" s="87"/>
      <c r="C527" s="88" t="s">
        <v>1533</v>
      </c>
      <c r="D527" s="88"/>
      <c r="E527" s="88"/>
      <c r="F527" s="87"/>
      <c r="G527" s="66"/>
      <c r="H527" s="194"/>
      <c r="I527" s="87"/>
      <c r="J527" s="87"/>
      <c r="K527" s="87"/>
      <c r="L527" s="87"/>
      <c r="M527" s="89"/>
      <c r="N527" s="32"/>
      <c r="O527" s="227"/>
      <c r="P527" s="60"/>
      <c r="Q527" s="56"/>
      <c r="R527" s="56"/>
      <c r="S527" s="56"/>
      <c r="T527" s="36"/>
      <c r="U527" s="36"/>
      <c r="V527" s="36"/>
      <c r="W527" s="36"/>
      <c r="X527" s="36"/>
      <c r="Y527" s="36"/>
      <c r="Z527" s="36"/>
      <c r="AA527" s="36"/>
      <c r="AB527" s="36"/>
      <c r="AC527" s="92"/>
      <c r="AD527" s="92"/>
      <c r="AE527" s="92"/>
      <c r="AF527" s="32"/>
      <c r="AG527" s="32"/>
    </row>
    <row r="528" spans="2:33">
      <c r="B528" s="63">
        <v>110</v>
      </c>
      <c r="C528" s="64" t="s">
        <v>1534</v>
      </c>
      <c r="D528" s="64" t="s">
        <v>1535</v>
      </c>
      <c r="E528" s="64"/>
      <c r="F528" s="66">
        <v>274</v>
      </c>
      <c r="G528" s="66" t="s">
        <v>1536</v>
      </c>
      <c r="H528" s="280"/>
      <c r="I528" s="66" t="s">
        <v>345</v>
      </c>
      <c r="J528" s="66" t="s">
        <v>1537</v>
      </c>
      <c r="K528" s="66" t="s">
        <v>345</v>
      </c>
      <c r="L528" s="66" t="s">
        <v>233</v>
      </c>
      <c r="M528" s="93">
        <v>5145.2</v>
      </c>
      <c r="N528" s="32"/>
      <c r="O528" s="94">
        <v>51452</v>
      </c>
      <c r="P528" s="71"/>
      <c r="Q528" s="66"/>
      <c r="R528" s="66" t="s">
        <v>346</v>
      </c>
      <c r="S528" s="66"/>
      <c r="T528" s="78"/>
      <c r="U528" s="78"/>
      <c r="V528" s="78"/>
      <c r="W528" s="78"/>
      <c r="X528" s="78"/>
      <c r="Y528" s="78"/>
      <c r="Z528" s="78"/>
      <c r="AA528" s="78"/>
      <c r="AB528" s="78"/>
      <c r="AC528" s="96"/>
      <c r="AD528" s="92"/>
      <c r="AE528" s="92" t="s">
        <v>352</v>
      </c>
      <c r="AF528" s="32"/>
      <c r="AG528" s="32"/>
    </row>
    <row r="529" spans="2:33">
      <c r="B529" s="87"/>
      <c r="C529" s="88"/>
      <c r="D529" s="88"/>
      <c r="E529" s="88"/>
      <c r="F529" s="87"/>
      <c r="G529" s="66"/>
      <c r="H529" s="194"/>
      <c r="I529" s="87"/>
      <c r="J529" s="87"/>
      <c r="K529" s="87"/>
      <c r="L529" s="87"/>
      <c r="M529" s="89"/>
      <c r="N529" s="32"/>
      <c r="O529" s="227"/>
      <c r="P529" s="60"/>
      <c r="Q529" s="56"/>
      <c r="R529" s="56"/>
      <c r="S529" s="56"/>
      <c r="T529" s="36"/>
      <c r="U529" s="36"/>
      <c r="V529" s="36"/>
      <c r="W529" s="36"/>
      <c r="X529" s="36"/>
      <c r="Y529" s="36"/>
      <c r="Z529" s="36"/>
      <c r="AA529" s="36"/>
      <c r="AB529" s="36"/>
      <c r="AC529" s="92"/>
      <c r="AD529" s="92"/>
      <c r="AE529" s="92"/>
      <c r="AF529" s="32"/>
      <c r="AG529" s="32"/>
    </row>
    <row r="530" spans="2:33">
      <c r="B530" s="87"/>
      <c r="C530" s="88" t="s">
        <v>1538</v>
      </c>
      <c r="D530" s="88"/>
      <c r="E530" s="88"/>
      <c r="F530" s="87"/>
      <c r="G530" s="66"/>
      <c r="H530" s="194"/>
      <c r="I530" s="87"/>
      <c r="J530" s="87"/>
      <c r="K530" s="87"/>
      <c r="L530" s="87"/>
      <c r="M530" s="89"/>
      <c r="N530" s="32"/>
      <c r="O530" s="227"/>
      <c r="P530" s="60"/>
      <c r="Q530" s="56"/>
      <c r="R530" s="56"/>
      <c r="S530" s="56"/>
      <c r="T530" s="36"/>
      <c r="U530" s="36"/>
      <c r="V530" s="36"/>
      <c r="W530" s="36"/>
      <c r="X530" s="36"/>
      <c r="Y530" s="36"/>
      <c r="Z530" s="36"/>
      <c r="AA530" s="36"/>
      <c r="AB530" s="36"/>
      <c r="AC530" s="92"/>
      <c r="AD530" s="92"/>
      <c r="AE530" s="92"/>
      <c r="AF530" s="32"/>
      <c r="AG530" s="32"/>
    </row>
    <row r="531" spans="2:33">
      <c r="B531" s="63">
        <v>111</v>
      </c>
      <c r="C531" s="64" t="s">
        <v>1539</v>
      </c>
      <c r="D531" s="64" t="s">
        <v>1540</v>
      </c>
      <c r="E531" s="64"/>
      <c r="F531" s="66">
        <v>141</v>
      </c>
      <c r="G531" s="66" t="s">
        <v>1541</v>
      </c>
      <c r="H531" s="280"/>
      <c r="I531" s="66" t="s">
        <v>232</v>
      </c>
      <c r="J531" s="66" t="s">
        <v>1542</v>
      </c>
      <c r="K531" s="66" t="s">
        <v>232</v>
      </c>
      <c r="L531" s="66" t="s">
        <v>245</v>
      </c>
      <c r="M531" s="93">
        <v>26356.6</v>
      </c>
      <c r="N531" s="32"/>
      <c r="O531" s="94">
        <v>263566</v>
      </c>
      <c r="P531" s="71"/>
      <c r="Q531" s="66"/>
      <c r="R531" s="66" t="s">
        <v>292</v>
      </c>
      <c r="S531" s="66" t="s">
        <v>1543</v>
      </c>
      <c r="T531" s="78"/>
      <c r="U531" s="78"/>
      <c r="V531" s="78"/>
      <c r="W531" s="78"/>
      <c r="X531" s="78"/>
      <c r="Y531" s="78"/>
      <c r="Z531" s="78"/>
      <c r="AA531" s="78"/>
      <c r="AB531" s="78"/>
      <c r="AC531" s="96"/>
      <c r="AD531" s="92"/>
      <c r="AE531" s="92"/>
      <c r="AF531" s="32"/>
      <c r="AG531" s="32"/>
    </row>
    <row r="532" spans="2:33">
      <c r="B532" s="87"/>
      <c r="C532" s="88"/>
      <c r="D532" s="88"/>
      <c r="E532" s="88"/>
      <c r="F532" s="87"/>
      <c r="G532" s="66"/>
      <c r="H532" s="194"/>
      <c r="I532" s="87"/>
      <c r="J532" s="87"/>
      <c r="K532" s="87"/>
      <c r="L532" s="87"/>
      <c r="M532" s="89"/>
      <c r="N532" s="32"/>
      <c r="O532" s="227"/>
      <c r="P532" s="60"/>
      <c r="Q532" s="56"/>
      <c r="R532" s="56"/>
      <c r="S532" s="56"/>
      <c r="T532" s="36"/>
      <c r="U532" s="36"/>
      <c r="V532" s="36"/>
      <c r="W532" s="36"/>
      <c r="X532" s="36"/>
      <c r="Y532" s="36"/>
      <c r="Z532" s="36"/>
      <c r="AA532" s="36"/>
      <c r="AB532" s="36"/>
      <c r="AC532" s="92"/>
      <c r="AD532" s="92"/>
      <c r="AE532" s="92"/>
      <c r="AF532" s="32"/>
      <c r="AG532" s="32"/>
    </row>
    <row r="533" spans="2:33">
      <c r="B533" s="87"/>
      <c r="C533" s="88" t="s">
        <v>1544</v>
      </c>
      <c r="D533" s="88"/>
      <c r="E533" s="88"/>
      <c r="F533" s="87"/>
      <c r="G533" s="66"/>
      <c r="H533" s="194"/>
      <c r="I533" s="87"/>
      <c r="J533" s="87"/>
      <c r="K533" s="87"/>
      <c r="L533" s="87"/>
      <c r="M533" s="89"/>
      <c r="N533" s="32"/>
      <c r="O533" s="227"/>
      <c r="P533" s="60"/>
      <c r="Q533" s="56"/>
      <c r="R533" s="56"/>
      <c r="S533" s="56"/>
      <c r="T533" s="36"/>
      <c r="U533" s="36"/>
      <c r="V533" s="36"/>
      <c r="W533" s="36"/>
      <c r="X533" s="36"/>
      <c r="Y533" s="36"/>
      <c r="Z533" s="36"/>
      <c r="AA533" s="36"/>
      <c r="AB533" s="36"/>
      <c r="AC533" s="92"/>
      <c r="AD533" s="92"/>
      <c r="AE533" s="92"/>
      <c r="AF533" s="32"/>
      <c r="AG533" s="32"/>
    </row>
    <row r="534" spans="2:33">
      <c r="B534" s="63">
        <v>112</v>
      </c>
      <c r="C534" s="64" t="s">
        <v>1545</v>
      </c>
      <c r="D534" s="64" t="s">
        <v>1546</v>
      </c>
      <c r="E534" s="64"/>
      <c r="F534" s="66">
        <v>81</v>
      </c>
      <c r="G534" s="66" t="s">
        <v>1541</v>
      </c>
      <c r="H534" s="280"/>
      <c r="I534" s="66" t="s">
        <v>232</v>
      </c>
      <c r="J534" s="66" t="s">
        <v>1547</v>
      </c>
      <c r="K534" s="66" t="s">
        <v>232</v>
      </c>
      <c r="L534" s="66" t="s">
        <v>245</v>
      </c>
      <c r="M534" s="93">
        <v>11990.6</v>
      </c>
      <c r="N534" s="32"/>
      <c r="O534" s="94">
        <v>119906</v>
      </c>
      <c r="P534" s="71"/>
      <c r="Q534" s="142"/>
      <c r="R534" s="142" t="s">
        <v>292</v>
      </c>
      <c r="S534" s="142" t="s">
        <v>1548</v>
      </c>
      <c r="T534" s="99">
        <v>32500</v>
      </c>
      <c r="U534" s="78"/>
      <c r="V534" s="78"/>
      <c r="W534" s="78"/>
      <c r="X534" s="78"/>
      <c r="Y534" s="78"/>
      <c r="Z534" s="78"/>
      <c r="AA534" s="78"/>
      <c r="AB534" s="78"/>
      <c r="AC534" s="96"/>
      <c r="AD534" s="92"/>
      <c r="AE534" s="92"/>
      <c r="AF534" s="32"/>
      <c r="AG534" s="32"/>
    </row>
    <row r="535" spans="2:33">
      <c r="B535" s="87"/>
      <c r="C535" s="88"/>
      <c r="D535" s="88"/>
      <c r="E535" s="88"/>
      <c r="F535" s="56"/>
      <c r="G535" s="66"/>
      <c r="H535" s="194"/>
      <c r="I535" s="56"/>
      <c r="J535" s="56"/>
      <c r="K535" s="56"/>
      <c r="L535" s="56"/>
      <c r="M535" s="58"/>
      <c r="N535" s="32"/>
      <c r="O535" s="90"/>
      <c r="P535" s="60"/>
      <c r="Q535" s="195"/>
      <c r="R535" s="195"/>
      <c r="S535" s="195"/>
      <c r="T535" s="228"/>
      <c r="U535" s="36"/>
      <c r="V535" s="36"/>
      <c r="W535" s="36"/>
      <c r="X535" s="36"/>
      <c r="Y535" s="36"/>
      <c r="Z535" s="36"/>
      <c r="AA535" s="36"/>
      <c r="AB535" s="36"/>
      <c r="AC535" s="92"/>
      <c r="AD535" s="92"/>
      <c r="AE535" s="92"/>
      <c r="AF535" s="32"/>
      <c r="AG535" s="32"/>
    </row>
    <row r="536" spans="2:33">
      <c r="B536" s="87"/>
      <c r="C536" s="88" t="s">
        <v>1549</v>
      </c>
      <c r="D536" s="88"/>
      <c r="E536" s="88"/>
      <c r="F536" s="56"/>
      <c r="G536" s="66"/>
      <c r="H536" s="194"/>
      <c r="I536" s="56"/>
      <c r="J536" s="56"/>
      <c r="K536" s="56"/>
      <c r="L536" s="56"/>
      <c r="M536" s="58"/>
      <c r="N536" s="32"/>
      <c r="O536" s="90"/>
      <c r="P536" s="60"/>
      <c r="Q536" s="195"/>
      <c r="R536" s="195"/>
      <c r="S536" s="195"/>
      <c r="T536" s="228"/>
      <c r="U536" s="36"/>
      <c r="V536" s="36"/>
      <c r="W536" s="36"/>
      <c r="X536" s="36"/>
      <c r="Y536" s="36"/>
      <c r="Z536" s="36"/>
      <c r="AA536" s="36"/>
      <c r="AB536" s="36"/>
      <c r="AC536" s="92"/>
      <c r="AD536" s="92"/>
      <c r="AE536" s="92"/>
      <c r="AF536" s="32"/>
      <c r="AG536" s="32"/>
    </row>
    <row r="537" spans="2:33">
      <c r="B537" s="63">
        <v>113</v>
      </c>
      <c r="C537" s="64" t="s">
        <v>1550</v>
      </c>
      <c r="D537" s="64" t="s">
        <v>1551</v>
      </c>
      <c r="E537" s="64"/>
      <c r="F537" s="66">
        <v>95</v>
      </c>
      <c r="G537" s="66" t="s">
        <v>1552</v>
      </c>
      <c r="H537" s="280"/>
      <c r="I537" s="66" t="s">
        <v>333</v>
      </c>
      <c r="J537" s="66" t="s">
        <v>1553</v>
      </c>
      <c r="K537" s="66" t="s">
        <v>333</v>
      </c>
      <c r="L537" s="66" t="s">
        <v>233</v>
      </c>
      <c r="M537" s="93">
        <v>13465.2</v>
      </c>
      <c r="N537" s="32"/>
      <c r="O537" s="94">
        <v>134652</v>
      </c>
      <c r="P537" s="71"/>
      <c r="Q537" s="66"/>
      <c r="R537" s="66" t="s">
        <v>334</v>
      </c>
      <c r="S537" s="66" t="s">
        <v>1554</v>
      </c>
      <c r="T537" s="78">
        <v>30900</v>
      </c>
      <c r="U537" s="78"/>
      <c r="V537" s="78"/>
      <c r="W537" s="78"/>
      <c r="X537" s="78"/>
      <c r="Y537" s="78"/>
      <c r="Z537" s="78"/>
      <c r="AA537" s="78"/>
      <c r="AB537" s="78"/>
      <c r="AC537" s="96"/>
      <c r="AD537" s="92"/>
      <c r="AE537" s="92"/>
      <c r="AF537" s="32"/>
      <c r="AG537" s="32"/>
    </row>
    <row r="538" spans="2:33">
      <c r="B538" s="87"/>
      <c r="C538" s="88"/>
      <c r="D538" s="88"/>
      <c r="E538" s="88"/>
      <c r="F538" s="56"/>
      <c r="G538" s="66"/>
      <c r="H538" s="194"/>
      <c r="I538" s="56"/>
      <c r="J538" s="56"/>
      <c r="K538" s="56"/>
      <c r="L538" s="56"/>
      <c r="M538" s="58"/>
      <c r="N538" s="32"/>
      <c r="O538" s="90"/>
      <c r="P538" s="60"/>
      <c r="Q538" s="90"/>
      <c r="R538" s="90"/>
      <c r="S538" s="90"/>
      <c r="T538" s="36"/>
      <c r="U538" s="36"/>
      <c r="V538" s="36"/>
      <c r="W538" s="36"/>
      <c r="X538" s="36"/>
      <c r="Y538" s="36"/>
      <c r="Z538" s="36"/>
      <c r="AA538" s="74"/>
      <c r="AB538" s="36"/>
      <c r="AC538" s="75"/>
      <c r="AD538" s="75"/>
      <c r="AE538" s="75"/>
      <c r="AF538" s="32"/>
      <c r="AG538" s="32"/>
    </row>
    <row r="539" spans="2:33">
      <c r="B539" s="111"/>
      <c r="C539" s="32" t="s">
        <v>1555</v>
      </c>
      <c r="D539" s="32"/>
      <c r="E539" s="32"/>
      <c r="F539" s="32"/>
      <c r="G539" s="66"/>
      <c r="H539" s="194"/>
      <c r="I539" s="32"/>
      <c r="J539" s="32"/>
      <c r="K539" s="32"/>
      <c r="L539" s="32"/>
      <c r="M539" s="190"/>
      <c r="N539" s="32"/>
      <c r="O539" s="32"/>
      <c r="P539" s="17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</row>
    <row r="540" spans="2:33">
      <c r="B540" s="63">
        <v>114</v>
      </c>
      <c r="C540" s="64" t="s">
        <v>1556</v>
      </c>
      <c r="D540" s="64" t="s">
        <v>1557</v>
      </c>
      <c r="E540" s="64"/>
      <c r="F540" s="66">
        <v>6</v>
      </c>
      <c r="G540" s="66" t="s">
        <v>1558</v>
      </c>
      <c r="H540" s="280"/>
      <c r="I540" s="66" t="s">
        <v>232</v>
      </c>
      <c r="J540" s="66" t="s">
        <v>1559</v>
      </c>
      <c r="K540" s="66" t="s">
        <v>232</v>
      </c>
      <c r="L540" s="66" t="s">
        <v>245</v>
      </c>
      <c r="M540" s="93">
        <v>6718.4</v>
      </c>
      <c r="N540" s="32"/>
      <c r="O540" s="94">
        <v>67184</v>
      </c>
      <c r="P540" s="71"/>
      <c r="Q540" s="66"/>
      <c r="R540" s="66" t="s">
        <v>292</v>
      </c>
      <c r="S540" s="66" t="s">
        <v>1560</v>
      </c>
      <c r="T540" s="78">
        <v>201552</v>
      </c>
      <c r="U540" s="78"/>
      <c r="V540" s="78"/>
      <c r="W540" s="78"/>
      <c r="X540" s="78"/>
      <c r="Y540" s="78"/>
      <c r="Z540" s="78"/>
      <c r="AA540" s="78"/>
      <c r="AB540" s="78"/>
      <c r="AC540" s="96"/>
      <c r="AD540" s="92"/>
      <c r="AE540" s="92"/>
      <c r="AF540" s="32"/>
      <c r="AG540" s="32"/>
    </row>
    <row r="541" spans="2:33">
      <c r="B541" s="111"/>
      <c r="C541" s="32"/>
      <c r="D541" s="32"/>
      <c r="E541" s="32"/>
      <c r="F541" s="32"/>
      <c r="G541" s="32"/>
      <c r="H541" s="196"/>
      <c r="I541" s="32"/>
      <c r="J541" s="32"/>
      <c r="K541" s="32"/>
      <c r="L541" s="32"/>
      <c r="M541" s="190"/>
      <c r="N541" s="32"/>
      <c r="O541" s="32"/>
      <c r="P541" s="17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</row>
    <row r="542" spans="2:33">
      <c r="B542" s="111"/>
      <c r="C542" s="32" t="s">
        <v>1561</v>
      </c>
      <c r="D542" s="32"/>
      <c r="E542" s="32"/>
      <c r="F542" s="32"/>
      <c r="G542" s="32"/>
      <c r="H542" s="196"/>
      <c r="I542" s="32"/>
      <c r="J542" s="32"/>
      <c r="K542" s="32"/>
      <c r="L542" s="32"/>
      <c r="M542" s="190"/>
      <c r="N542" s="32"/>
      <c r="O542" s="32"/>
      <c r="P542" s="17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</row>
    <row r="543" spans="2:33">
      <c r="B543" s="63">
        <v>115</v>
      </c>
      <c r="C543" s="64" t="s">
        <v>1562</v>
      </c>
      <c r="D543" s="64" t="s">
        <v>1563</v>
      </c>
      <c r="E543" s="64"/>
      <c r="F543" s="66">
        <v>298</v>
      </c>
      <c r="G543" s="66" t="s">
        <v>1564</v>
      </c>
      <c r="H543" s="280"/>
      <c r="I543" s="66" t="s">
        <v>422</v>
      </c>
      <c r="J543" s="66" t="s">
        <v>1565</v>
      </c>
      <c r="K543" s="66" t="s">
        <v>422</v>
      </c>
      <c r="L543" s="66" t="s">
        <v>380</v>
      </c>
      <c r="M543" s="93">
        <v>9211.7999999999993</v>
      </c>
      <c r="N543" s="32"/>
      <c r="O543" s="94">
        <v>92118</v>
      </c>
      <c r="P543" s="71"/>
      <c r="Q543" s="94"/>
      <c r="R543" s="94" t="s">
        <v>423</v>
      </c>
      <c r="S543" s="94" t="s">
        <v>1566</v>
      </c>
      <c r="T543" s="78"/>
      <c r="U543" s="78"/>
      <c r="V543" s="78"/>
      <c r="W543" s="78"/>
      <c r="X543" s="78"/>
      <c r="Y543" s="78"/>
      <c r="Z543" s="78"/>
      <c r="AA543" s="78"/>
      <c r="AB543" s="95"/>
      <c r="AC543" s="96"/>
      <c r="AD543" s="92"/>
      <c r="AE543" s="92"/>
      <c r="AF543" s="32"/>
      <c r="AG543" s="32"/>
    </row>
    <row r="544" spans="2:33">
      <c r="B544" s="111"/>
      <c r="C544" s="32"/>
      <c r="D544" s="32"/>
      <c r="E544" s="32"/>
      <c r="F544" s="32"/>
      <c r="G544" s="66"/>
      <c r="H544" s="194"/>
      <c r="I544" s="32"/>
      <c r="J544" s="32"/>
      <c r="K544" s="32"/>
      <c r="L544" s="32"/>
      <c r="M544" s="190"/>
      <c r="N544" s="32"/>
      <c r="O544" s="32"/>
      <c r="P544" s="17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</row>
    <row r="545" spans="2:37">
      <c r="B545" s="111"/>
      <c r="C545" s="32" t="s">
        <v>1567</v>
      </c>
      <c r="D545" s="32"/>
      <c r="E545" s="32"/>
      <c r="F545" s="32"/>
      <c r="G545" s="66"/>
      <c r="H545" s="194"/>
      <c r="I545" s="32"/>
      <c r="J545" s="32"/>
      <c r="K545" s="32"/>
      <c r="L545" s="32"/>
      <c r="M545" s="190"/>
      <c r="N545" s="32"/>
      <c r="O545" s="32"/>
      <c r="P545" s="17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</row>
    <row r="546" spans="2:37">
      <c r="B546" s="63">
        <v>116</v>
      </c>
      <c r="C546" s="64" t="s">
        <v>1568</v>
      </c>
      <c r="D546" s="64" t="s">
        <v>1569</v>
      </c>
      <c r="E546" s="64"/>
      <c r="F546" s="66">
        <v>156</v>
      </c>
      <c r="G546" s="66" t="s">
        <v>1564</v>
      </c>
      <c r="H546" s="280"/>
      <c r="I546" s="66" t="s">
        <v>232</v>
      </c>
      <c r="J546" s="66" t="s">
        <v>1570</v>
      </c>
      <c r="K546" s="66" t="s">
        <v>232</v>
      </c>
      <c r="L546" s="66" t="s">
        <v>350</v>
      </c>
      <c r="M546" s="93">
        <v>8935.7000000000007</v>
      </c>
      <c r="N546" s="32"/>
      <c r="O546" s="94">
        <v>89357</v>
      </c>
      <c r="P546" s="71"/>
      <c r="Q546" s="66"/>
      <c r="R546" s="66" t="s">
        <v>292</v>
      </c>
      <c r="S546" s="66" t="s">
        <v>1571</v>
      </c>
      <c r="T546" s="78"/>
      <c r="U546" s="78"/>
      <c r="V546" s="78"/>
      <c r="W546" s="78"/>
      <c r="X546" s="78"/>
      <c r="Y546" s="78"/>
      <c r="Z546" s="78"/>
      <c r="AA546" s="78"/>
      <c r="AB546" s="78"/>
      <c r="AC546" s="96"/>
      <c r="AD546" s="92"/>
      <c r="AE546" s="92"/>
      <c r="AF546" s="32"/>
      <c r="AG546" s="32"/>
    </row>
    <row r="547" spans="2:37">
      <c r="B547" s="111"/>
      <c r="C547" s="32"/>
      <c r="D547" s="32"/>
      <c r="E547" s="32"/>
      <c r="F547" s="32"/>
      <c r="G547" s="66"/>
      <c r="H547" s="194"/>
      <c r="I547" s="32"/>
      <c r="J547" s="32"/>
      <c r="K547" s="32"/>
      <c r="L547" s="32"/>
      <c r="M547" s="190"/>
      <c r="N547" s="32"/>
      <c r="O547" s="32"/>
      <c r="P547" s="17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</row>
    <row r="548" spans="2:37">
      <c r="B548" s="111"/>
      <c r="C548" s="32" t="s">
        <v>1572</v>
      </c>
      <c r="D548" s="32"/>
      <c r="E548" s="32"/>
      <c r="F548" s="32"/>
      <c r="G548" s="66"/>
      <c r="H548" s="194"/>
      <c r="I548" s="32"/>
      <c r="J548" s="32"/>
      <c r="K548" s="32"/>
      <c r="L548" s="32"/>
      <c r="M548" s="190"/>
      <c r="N548" s="32"/>
      <c r="O548" s="32"/>
      <c r="P548" s="17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</row>
    <row r="549" spans="2:37">
      <c r="B549" s="63">
        <v>117</v>
      </c>
      <c r="C549" s="64" t="s">
        <v>1573</v>
      </c>
      <c r="D549" s="64" t="s">
        <v>1574</v>
      </c>
      <c r="E549" s="64"/>
      <c r="F549" s="66">
        <v>301</v>
      </c>
      <c r="G549" s="66" t="s">
        <v>1575</v>
      </c>
      <c r="H549" s="280"/>
      <c r="I549" s="66" t="s">
        <v>769</v>
      </c>
      <c r="J549" s="66" t="s">
        <v>1576</v>
      </c>
      <c r="K549" s="66" t="s">
        <v>769</v>
      </c>
      <c r="L549" s="66" t="s">
        <v>380</v>
      </c>
      <c r="M549" s="229">
        <v>27108.799999999999</v>
      </c>
      <c r="N549" s="32"/>
      <c r="O549" s="123">
        <v>64289</v>
      </c>
      <c r="P549" s="71"/>
      <c r="Q549" s="94"/>
      <c r="R549" s="94" t="s">
        <v>770</v>
      </c>
      <c r="S549" s="94"/>
      <c r="T549" s="78"/>
      <c r="U549" s="78"/>
      <c r="V549" s="78"/>
      <c r="W549" s="78"/>
      <c r="X549" s="78"/>
      <c r="Y549" s="78"/>
      <c r="Z549" s="78"/>
      <c r="AA549" s="78"/>
      <c r="AB549" s="78"/>
      <c r="AC549" s="96"/>
      <c r="AD549" s="92"/>
      <c r="AE549" s="92"/>
      <c r="AF549" s="36"/>
      <c r="AG549" s="36" t="s">
        <v>1577</v>
      </c>
      <c r="AH549" s="83"/>
      <c r="AI549" s="83"/>
      <c r="AJ549" s="83"/>
      <c r="AK549" s="83"/>
    </row>
    <row r="550" spans="2:37">
      <c r="B550" s="111"/>
      <c r="C550" s="32"/>
      <c r="D550" s="32"/>
      <c r="E550" s="32"/>
      <c r="F550" s="32"/>
      <c r="G550" s="66"/>
      <c r="H550" s="194"/>
      <c r="I550" s="32"/>
      <c r="J550" s="32"/>
      <c r="K550" s="32"/>
      <c r="L550" s="32"/>
      <c r="M550" s="190"/>
      <c r="N550" s="32"/>
      <c r="O550" s="32"/>
      <c r="P550" s="17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</row>
    <row r="551" spans="2:37">
      <c r="B551" s="111"/>
      <c r="C551" s="32" t="s">
        <v>1578</v>
      </c>
      <c r="D551" s="32"/>
      <c r="E551" s="32"/>
      <c r="F551" s="32"/>
      <c r="G551" s="66"/>
      <c r="H551" s="194"/>
      <c r="I551" s="32"/>
      <c r="J551" s="32"/>
      <c r="K551" s="32"/>
      <c r="L551" s="32"/>
      <c r="M551" s="190"/>
      <c r="N551" s="32"/>
      <c r="O551" s="32"/>
      <c r="P551" s="17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</row>
    <row r="552" spans="2:37">
      <c r="B552" s="63">
        <v>118</v>
      </c>
      <c r="C552" s="64" t="s">
        <v>1579</v>
      </c>
      <c r="D552" s="64" t="s">
        <v>1358</v>
      </c>
      <c r="E552" s="64"/>
      <c r="F552" s="66">
        <v>405</v>
      </c>
      <c r="G552" s="66" t="s">
        <v>1575</v>
      </c>
      <c r="H552" s="280"/>
      <c r="I552" s="66" t="s">
        <v>436</v>
      </c>
      <c r="J552" s="66" t="s">
        <v>1580</v>
      </c>
      <c r="K552" s="66" t="s">
        <v>436</v>
      </c>
      <c r="L552" s="66" t="s">
        <v>380</v>
      </c>
      <c r="M552" s="93">
        <v>24888</v>
      </c>
      <c r="N552" s="32"/>
      <c r="O552" s="94">
        <v>161663</v>
      </c>
      <c r="P552" s="71"/>
      <c r="Q552" s="94"/>
      <c r="R552" s="94" t="s">
        <v>496</v>
      </c>
      <c r="S552" s="94" t="s">
        <v>1361</v>
      </c>
      <c r="T552" s="78"/>
      <c r="U552" s="79"/>
      <c r="V552" s="78"/>
      <c r="W552" s="78"/>
      <c r="X552" s="78"/>
      <c r="Y552" s="78"/>
      <c r="Z552" s="78">
        <v>62220</v>
      </c>
      <c r="AA552" s="79">
        <v>35895</v>
      </c>
      <c r="AB552" s="78">
        <v>213</v>
      </c>
      <c r="AC552" s="80">
        <v>35895</v>
      </c>
      <c r="AD552" s="75"/>
      <c r="AE552" s="75"/>
      <c r="AF552" s="32"/>
      <c r="AG552" s="32"/>
    </row>
    <row r="553" spans="2:37">
      <c r="B553" s="111"/>
      <c r="C553" s="32"/>
      <c r="D553" s="32"/>
      <c r="E553" s="32"/>
      <c r="F553" s="32"/>
      <c r="G553" s="66"/>
      <c r="H553" s="194"/>
      <c r="I553" s="32"/>
      <c r="J553" s="32"/>
      <c r="K553" s="32"/>
      <c r="L553" s="32"/>
      <c r="M553" s="190"/>
      <c r="N553" s="32"/>
      <c r="O553" s="32"/>
      <c r="P553" s="17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</row>
    <row r="554" spans="2:37">
      <c r="B554" s="111"/>
      <c r="C554" s="32" t="s">
        <v>1581</v>
      </c>
      <c r="D554" s="32"/>
      <c r="E554" s="32"/>
      <c r="F554" s="32"/>
      <c r="G554" s="66"/>
      <c r="H554" s="194"/>
      <c r="I554" s="32"/>
      <c r="J554" s="32"/>
      <c r="K554" s="32"/>
      <c r="L554" s="32"/>
      <c r="M554" s="190"/>
      <c r="N554" s="32"/>
      <c r="O554" s="32"/>
      <c r="P554" s="17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</row>
    <row r="555" spans="2:37">
      <c r="B555" s="63">
        <v>119</v>
      </c>
      <c r="C555" s="64" t="s">
        <v>1582</v>
      </c>
      <c r="D555" s="64" t="s">
        <v>1583</v>
      </c>
      <c r="E555" s="64"/>
      <c r="F555" s="66">
        <v>128</v>
      </c>
      <c r="G555" s="66" t="s">
        <v>1584</v>
      </c>
      <c r="H555" s="280"/>
      <c r="I555" s="66" t="s">
        <v>406</v>
      </c>
      <c r="J555" s="66" t="s">
        <v>740</v>
      </c>
      <c r="K555" s="66" t="s">
        <v>406</v>
      </c>
      <c r="L555" s="66" t="s">
        <v>233</v>
      </c>
      <c r="M555" s="93">
        <v>6763.7</v>
      </c>
      <c r="N555" s="32"/>
      <c r="O555" s="94">
        <v>67637</v>
      </c>
      <c r="P555" s="71"/>
      <c r="Q555" s="66"/>
      <c r="R555" s="66" t="s">
        <v>407</v>
      </c>
      <c r="S555" s="66" t="s">
        <v>1401</v>
      </c>
      <c r="T555" s="78"/>
      <c r="U555" s="78"/>
      <c r="V555" s="78"/>
      <c r="W555" s="78"/>
      <c r="X555" s="78"/>
      <c r="Y555" s="78"/>
      <c r="Z555" s="78"/>
      <c r="AA555" s="78"/>
      <c r="AB555" s="78"/>
      <c r="AC555" s="96"/>
      <c r="AD555" s="92"/>
      <c r="AE555" s="92" t="s">
        <v>1585</v>
      </c>
      <c r="AF555" s="32"/>
      <c r="AG555" s="32"/>
    </row>
    <row r="556" spans="2:37">
      <c r="B556" s="111"/>
      <c r="C556" s="32"/>
      <c r="D556" s="32"/>
      <c r="E556" s="32"/>
      <c r="F556" s="32"/>
      <c r="G556" s="66"/>
      <c r="H556" s="194"/>
      <c r="I556" s="32"/>
      <c r="J556" s="32"/>
      <c r="K556" s="32"/>
      <c r="L556" s="32"/>
      <c r="M556" s="190"/>
      <c r="N556" s="32"/>
      <c r="O556" s="32"/>
      <c r="P556" s="17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</row>
    <row r="557" spans="2:37">
      <c r="B557" s="111"/>
      <c r="C557" s="32" t="s">
        <v>1586</v>
      </c>
      <c r="D557" s="32"/>
      <c r="E557" s="32"/>
      <c r="F557" s="32"/>
      <c r="G557" s="66"/>
      <c r="H557" s="194"/>
      <c r="I557" s="32"/>
      <c r="J557" s="32"/>
      <c r="K557" s="32"/>
      <c r="L557" s="32"/>
      <c r="M557" s="190"/>
      <c r="N557" s="32"/>
      <c r="O557" s="32"/>
      <c r="P557" s="17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</row>
    <row r="558" spans="2:37">
      <c r="B558" s="63">
        <v>120</v>
      </c>
      <c r="C558" s="64" t="s">
        <v>1587</v>
      </c>
      <c r="D558" s="64" t="s">
        <v>1588</v>
      </c>
      <c r="E558" s="64"/>
      <c r="F558" s="66">
        <v>328</v>
      </c>
      <c r="G558" s="66" t="s">
        <v>1589</v>
      </c>
      <c r="H558" s="280"/>
      <c r="I558" s="66" t="s">
        <v>333</v>
      </c>
      <c r="J558" s="66" t="s">
        <v>1590</v>
      </c>
      <c r="K558" s="66" t="s">
        <v>333</v>
      </c>
      <c r="L558" s="66" t="s">
        <v>259</v>
      </c>
      <c r="M558" s="93">
        <v>10205.6</v>
      </c>
      <c r="N558" s="32"/>
      <c r="O558" s="94">
        <v>102056</v>
      </c>
      <c r="P558" s="71"/>
      <c r="Q558" s="66"/>
      <c r="R558" s="66" t="s">
        <v>334</v>
      </c>
      <c r="S558" s="66" t="s">
        <v>1591</v>
      </c>
      <c r="T558" s="78"/>
      <c r="U558" s="78"/>
      <c r="V558" s="78"/>
      <c r="W558" s="78"/>
      <c r="X558" s="78"/>
      <c r="Y558" s="78"/>
      <c r="Z558" s="78"/>
      <c r="AA558" s="78"/>
      <c r="AB558" s="78"/>
      <c r="AC558" s="96"/>
      <c r="AD558" s="92"/>
      <c r="AE558" s="92"/>
      <c r="AF558" s="32"/>
      <c r="AG558" s="32"/>
    </row>
    <row r="559" spans="2:37">
      <c r="B559" s="111"/>
      <c r="C559" s="32"/>
      <c r="D559" s="32"/>
      <c r="E559" s="32"/>
      <c r="F559" s="32"/>
      <c r="G559" s="32"/>
      <c r="H559" s="196"/>
      <c r="I559" s="32"/>
      <c r="J559" s="32"/>
      <c r="K559" s="32"/>
      <c r="L559" s="32"/>
      <c r="M559" s="190"/>
      <c r="N559" s="32"/>
      <c r="O559" s="32"/>
      <c r="P559" s="17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</row>
    <row r="560" spans="2:37">
      <c r="B560" s="111"/>
      <c r="C560" s="32" t="s">
        <v>1592</v>
      </c>
      <c r="D560" s="32"/>
      <c r="E560" s="32"/>
      <c r="F560" s="32"/>
      <c r="G560" s="32"/>
      <c r="H560" s="196"/>
      <c r="I560" s="32"/>
      <c r="J560" s="32"/>
      <c r="K560" s="32"/>
      <c r="L560" s="32"/>
      <c r="M560" s="190"/>
      <c r="N560" s="32"/>
      <c r="O560" s="32"/>
      <c r="P560" s="17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</row>
    <row r="561" spans="2:45">
      <c r="B561" s="63">
        <v>121</v>
      </c>
      <c r="C561" s="64" t="s">
        <v>1593</v>
      </c>
      <c r="D561" s="64" t="s">
        <v>1594</v>
      </c>
      <c r="E561" s="64"/>
      <c r="F561" s="66">
        <v>247</v>
      </c>
      <c r="G561" s="66" t="s">
        <v>1595</v>
      </c>
      <c r="H561" s="280"/>
      <c r="I561" s="66" t="s">
        <v>1480</v>
      </c>
      <c r="J561" s="66" t="s">
        <v>1596</v>
      </c>
      <c r="K561" s="66" t="s">
        <v>1480</v>
      </c>
      <c r="L561" s="66" t="s">
        <v>350</v>
      </c>
      <c r="M561" s="93">
        <v>13485.7</v>
      </c>
      <c r="N561" s="32"/>
      <c r="O561" s="94">
        <v>134857</v>
      </c>
      <c r="P561" s="71">
        <f>134857*100</f>
        <v>13485700</v>
      </c>
      <c r="Q561" s="94"/>
      <c r="R561" s="94" t="s">
        <v>1482</v>
      </c>
      <c r="S561" s="94" t="s">
        <v>716</v>
      </c>
      <c r="T561" s="78"/>
      <c r="U561" s="79">
        <v>35765</v>
      </c>
      <c r="V561" s="78" t="s">
        <v>234</v>
      </c>
      <c r="W561" s="78" t="s">
        <v>1597</v>
      </c>
      <c r="X561" s="78"/>
      <c r="Y561" s="78"/>
      <c r="Z561" s="78">
        <v>53606</v>
      </c>
      <c r="AA561" s="79">
        <v>35909</v>
      </c>
      <c r="AB561" s="78">
        <v>278</v>
      </c>
      <c r="AC561" s="80">
        <v>35924</v>
      </c>
      <c r="AD561" s="75"/>
      <c r="AE561" s="75" t="s">
        <v>352</v>
      </c>
      <c r="AF561" s="32" t="s">
        <v>1598</v>
      </c>
      <c r="AG561" s="32"/>
    </row>
    <row r="562" spans="2:45">
      <c r="B562" s="111"/>
      <c r="C562" s="32"/>
      <c r="D562" s="32"/>
      <c r="E562" s="32"/>
      <c r="F562" s="32"/>
      <c r="G562" s="66"/>
      <c r="H562" s="194"/>
      <c r="I562" s="32"/>
      <c r="J562" s="32"/>
      <c r="K562" s="32"/>
      <c r="L562" s="32"/>
      <c r="M562" s="190"/>
      <c r="N562" s="32"/>
      <c r="O562" s="32"/>
      <c r="P562" s="17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</row>
    <row r="563" spans="2:45">
      <c r="B563" s="111"/>
      <c r="C563" s="32" t="s">
        <v>1599</v>
      </c>
      <c r="D563" s="32"/>
      <c r="E563" s="32"/>
      <c r="F563" s="32"/>
      <c r="G563" s="66"/>
      <c r="H563" s="194"/>
      <c r="I563" s="32"/>
      <c r="J563" s="32"/>
      <c r="K563" s="32"/>
      <c r="L563" s="32"/>
      <c r="M563" s="190"/>
      <c r="N563" s="32"/>
      <c r="O563" s="32"/>
      <c r="P563" s="17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</row>
    <row r="564" spans="2:45">
      <c r="B564" s="63">
        <v>122</v>
      </c>
      <c r="C564" s="64" t="s">
        <v>1600</v>
      </c>
      <c r="D564" s="64" t="s">
        <v>1601</v>
      </c>
      <c r="E564" s="64"/>
      <c r="F564" s="66">
        <v>355</v>
      </c>
      <c r="G564" s="66" t="s">
        <v>1602</v>
      </c>
      <c r="H564" s="280"/>
      <c r="I564" s="66" t="s">
        <v>769</v>
      </c>
      <c r="J564" s="66" t="s">
        <v>1603</v>
      </c>
      <c r="K564" s="66" t="s">
        <v>769</v>
      </c>
      <c r="L564" s="66" t="s">
        <v>233</v>
      </c>
      <c r="M564" s="93">
        <v>20393</v>
      </c>
      <c r="N564" s="32"/>
      <c r="O564" s="94">
        <v>203930</v>
      </c>
      <c r="P564" s="71"/>
      <c r="Q564" s="94" t="s">
        <v>770</v>
      </c>
      <c r="R564" s="94" t="s">
        <v>770</v>
      </c>
      <c r="S564" s="94" t="s">
        <v>471</v>
      </c>
      <c r="T564" s="78">
        <v>50982.5</v>
      </c>
      <c r="U564" s="78"/>
      <c r="V564" s="78"/>
      <c r="W564" s="78"/>
      <c r="X564" s="78"/>
      <c r="Y564" s="78"/>
      <c r="Z564" s="78"/>
      <c r="AA564" s="78"/>
      <c r="AB564" s="95"/>
      <c r="AC564" s="96"/>
      <c r="AD564" s="92"/>
      <c r="AE564" s="92"/>
      <c r="AF564" s="32"/>
      <c r="AG564" s="32"/>
    </row>
    <row r="565" spans="2:45">
      <c r="B565" s="111"/>
      <c r="C565" s="32"/>
      <c r="D565" s="32"/>
      <c r="E565" s="32"/>
      <c r="F565" s="32"/>
      <c r="G565" s="66"/>
      <c r="H565" s="194"/>
      <c r="I565" s="32"/>
      <c r="J565" s="32"/>
      <c r="K565" s="32"/>
      <c r="L565" s="32"/>
      <c r="M565" s="190"/>
      <c r="N565" s="32"/>
      <c r="O565" s="32"/>
      <c r="P565" s="17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</row>
    <row r="566" spans="2:45">
      <c r="B566" s="111"/>
      <c r="C566" s="32" t="s">
        <v>1604</v>
      </c>
      <c r="D566" s="32"/>
      <c r="E566" s="32"/>
      <c r="F566" s="32"/>
      <c r="G566" s="66"/>
      <c r="H566" s="194"/>
      <c r="I566" s="32"/>
      <c r="J566" s="32"/>
      <c r="K566" s="32"/>
      <c r="L566" s="32"/>
      <c r="M566" s="190"/>
      <c r="N566" s="32"/>
      <c r="O566" s="32"/>
      <c r="P566" s="17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</row>
    <row r="567" spans="2:45">
      <c r="B567" s="63">
        <v>123</v>
      </c>
      <c r="C567" s="64" t="s">
        <v>1605</v>
      </c>
      <c r="D567" s="64" t="s">
        <v>1606</v>
      </c>
      <c r="E567" s="64"/>
      <c r="F567" s="66">
        <v>139</v>
      </c>
      <c r="G567" s="66" t="s">
        <v>1602</v>
      </c>
      <c r="H567" s="280"/>
      <c r="I567" s="66" t="s">
        <v>345</v>
      </c>
      <c r="J567" s="66" t="s">
        <v>1607</v>
      </c>
      <c r="K567" s="66" t="s">
        <v>345</v>
      </c>
      <c r="L567" s="66" t="s">
        <v>259</v>
      </c>
      <c r="M567" s="93">
        <v>12702.9</v>
      </c>
      <c r="N567" s="32"/>
      <c r="O567" s="94">
        <v>127029</v>
      </c>
      <c r="P567" s="71"/>
      <c r="Q567" s="66"/>
      <c r="R567" s="66" t="s">
        <v>292</v>
      </c>
      <c r="S567" s="66" t="s">
        <v>782</v>
      </c>
      <c r="T567" s="78"/>
      <c r="U567" s="78"/>
      <c r="V567" s="78"/>
      <c r="W567" s="78"/>
      <c r="X567" s="78"/>
      <c r="Y567" s="78"/>
      <c r="Z567" s="78"/>
      <c r="AA567" s="78"/>
      <c r="AB567" s="78"/>
      <c r="AC567" s="96"/>
      <c r="AD567" s="92"/>
      <c r="AE567" s="92"/>
      <c r="AF567" s="32"/>
      <c r="AG567" s="32"/>
    </row>
    <row r="568" spans="2:45">
      <c r="B568" s="111"/>
      <c r="C568" s="32"/>
      <c r="D568" s="32"/>
      <c r="E568" s="32"/>
      <c r="F568" s="32"/>
      <c r="G568" s="66"/>
      <c r="H568" s="194"/>
      <c r="I568" s="32"/>
      <c r="J568" s="32"/>
      <c r="K568" s="32"/>
      <c r="L568" s="32"/>
      <c r="M568" s="190"/>
      <c r="N568" s="32"/>
      <c r="O568" s="32"/>
      <c r="P568" s="17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</row>
    <row r="569" spans="2:45">
      <c r="B569" s="111"/>
      <c r="C569" s="32" t="s">
        <v>1608</v>
      </c>
      <c r="D569" s="32"/>
      <c r="E569" s="32"/>
      <c r="F569" s="32"/>
      <c r="G569" s="66"/>
      <c r="H569" s="194"/>
      <c r="I569" s="32"/>
      <c r="J569" s="32"/>
      <c r="K569" s="32"/>
      <c r="L569" s="32"/>
      <c r="M569" s="190"/>
      <c r="N569" s="32"/>
      <c r="O569" s="32"/>
      <c r="P569" s="17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</row>
    <row r="570" spans="2:45">
      <c r="B570" s="63">
        <v>124</v>
      </c>
      <c r="C570" s="64" t="s">
        <v>1609</v>
      </c>
      <c r="D570" s="64" t="s">
        <v>1610</v>
      </c>
      <c r="E570" s="64"/>
      <c r="F570" s="66">
        <v>127</v>
      </c>
      <c r="G570" s="66" t="s">
        <v>1611</v>
      </c>
      <c r="H570" s="280"/>
      <c r="I570" s="66" t="s">
        <v>232</v>
      </c>
      <c r="J570" s="66" t="s">
        <v>1612</v>
      </c>
      <c r="K570" s="66" t="s">
        <v>232</v>
      </c>
      <c r="L570" s="66" t="s">
        <v>233</v>
      </c>
      <c r="M570" s="93">
        <v>8183.6</v>
      </c>
      <c r="N570" s="32"/>
      <c r="O570" s="94">
        <v>81836</v>
      </c>
      <c r="P570" s="71"/>
      <c r="Q570" s="66"/>
      <c r="R570" s="66" t="s">
        <v>323</v>
      </c>
      <c r="S570" s="66" t="s">
        <v>1401</v>
      </c>
      <c r="T570" s="78"/>
      <c r="U570" s="78"/>
      <c r="V570" s="78"/>
      <c r="W570" s="78"/>
      <c r="X570" s="78"/>
      <c r="Y570" s="78"/>
      <c r="Z570" s="78"/>
      <c r="AA570" s="78"/>
      <c r="AB570" s="78"/>
      <c r="AC570" s="96"/>
      <c r="AD570" s="92"/>
      <c r="AE570" s="32" t="s">
        <v>1613</v>
      </c>
      <c r="AF570" s="92"/>
      <c r="AG570" s="32"/>
    </row>
    <row r="571" spans="2:45">
      <c r="B571" s="111"/>
      <c r="C571" s="32"/>
      <c r="D571" s="32"/>
      <c r="E571" s="32"/>
      <c r="F571" s="32"/>
      <c r="G571" s="66"/>
      <c r="H571" s="194"/>
      <c r="I571" s="32"/>
      <c r="J571" s="32"/>
      <c r="K571" s="32"/>
      <c r="L571" s="32"/>
      <c r="M571" s="190"/>
      <c r="N571" s="32"/>
      <c r="O571" s="32"/>
      <c r="P571" s="17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</row>
    <row r="572" spans="2:45">
      <c r="B572" s="111"/>
      <c r="C572" s="32" t="s">
        <v>1614</v>
      </c>
      <c r="D572" s="32"/>
      <c r="E572" s="32"/>
      <c r="F572" s="32"/>
      <c r="G572" s="66"/>
      <c r="H572" s="194"/>
      <c r="I572" s="32"/>
      <c r="J572" s="32"/>
      <c r="K572" s="32"/>
      <c r="L572" s="32"/>
      <c r="M572" s="190"/>
      <c r="N572" s="32"/>
      <c r="O572" s="32"/>
      <c r="P572" s="17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</row>
    <row r="573" spans="2:45" ht="12.75" thickBot="1">
      <c r="B573" s="63">
        <v>125</v>
      </c>
      <c r="C573" s="65" t="s">
        <v>1615</v>
      </c>
      <c r="D573" s="65" t="s">
        <v>1616</v>
      </c>
      <c r="E573" s="65"/>
      <c r="F573" s="66">
        <v>516</v>
      </c>
      <c r="G573" s="66" t="s">
        <v>1617</v>
      </c>
      <c r="H573" s="280"/>
      <c r="I573" s="66" t="s">
        <v>688</v>
      </c>
      <c r="J573" s="66" t="s">
        <v>1618</v>
      </c>
      <c r="K573" s="66" t="s">
        <v>688</v>
      </c>
      <c r="L573" s="66" t="s">
        <v>245</v>
      </c>
      <c r="M573" s="93">
        <v>255168.5</v>
      </c>
      <c r="N573" s="32"/>
      <c r="O573" s="131">
        <v>2551685</v>
      </c>
      <c r="P573" s="71">
        <v>2551685</v>
      </c>
      <c r="Q573" s="72"/>
      <c r="R573" s="73"/>
      <c r="S573" s="73"/>
      <c r="T573" s="36"/>
      <c r="U573" s="36"/>
      <c r="V573" s="36"/>
      <c r="W573" s="74"/>
      <c r="X573" s="36"/>
      <c r="Y573" s="36"/>
      <c r="Z573" s="36"/>
      <c r="AA573" s="74"/>
      <c r="AB573" s="36"/>
      <c r="AC573" s="75"/>
      <c r="AD573" s="75"/>
      <c r="AE573" s="75" t="s">
        <v>234</v>
      </c>
      <c r="AF573" s="230" t="s">
        <v>1619</v>
      </c>
      <c r="AG573" s="230"/>
      <c r="AH573" s="24" t="s">
        <v>1620</v>
      </c>
      <c r="AS573" s="24" t="s">
        <v>655</v>
      </c>
    </row>
    <row r="574" spans="2:45">
      <c r="B574" s="111"/>
      <c r="C574" s="32"/>
      <c r="D574" s="32"/>
      <c r="E574" s="32"/>
      <c r="F574" s="32"/>
      <c r="G574" s="32"/>
      <c r="H574" s="196"/>
      <c r="I574" s="32"/>
      <c r="J574" s="32"/>
      <c r="K574" s="32"/>
      <c r="L574" s="32"/>
      <c r="M574" s="190"/>
      <c r="N574" s="32"/>
      <c r="O574" s="32"/>
      <c r="P574" s="17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</row>
    <row r="575" spans="2:45">
      <c r="B575" s="111"/>
      <c r="C575" s="145" t="s">
        <v>1621</v>
      </c>
      <c r="D575" s="32"/>
      <c r="E575" s="32"/>
      <c r="F575" s="32"/>
      <c r="G575" s="32"/>
      <c r="H575" s="196"/>
      <c r="I575" s="32"/>
      <c r="J575" s="32"/>
      <c r="K575" s="32"/>
      <c r="L575" s="32"/>
      <c r="M575" s="190"/>
      <c r="N575" s="32"/>
      <c r="O575" s="32"/>
      <c r="P575" s="17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</row>
    <row r="576" spans="2:45">
      <c r="B576" s="63">
        <v>126</v>
      </c>
      <c r="C576" s="65" t="s">
        <v>1622</v>
      </c>
      <c r="D576" s="65" t="s">
        <v>1623</v>
      </c>
      <c r="E576" s="65"/>
      <c r="F576" s="66">
        <v>494</v>
      </c>
      <c r="G576" s="66" t="s">
        <v>1624</v>
      </c>
      <c r="H576" s="280"/>
      <c r="I576" s="66" t="s">
        <v>232</v>
      </c>
      <c r="J576" s="66" t="s">
        <v>1625</v>
      </c>
      <c r="K576" s="66" t="s">
        <v>232</v>
      </c>
      <c r="L576" s="66" t="s">
        <v>245</v>
      </c>
      <c r="M576" s="93">
        <v>684761.2</v>
      </c>
      <c r="N576" s="32"/>
      <c r="O576" s="131">
        <v>6847612</v>
      </c>
      <c r="P576" s="71">
        <v>6847612</v>
      </c>
      <c r="Q576" s="72"/>
      <c r="R576" s="73"/>
      <c r="S576" s="73"/>
      <c r="T576" s="36"/>
      <c r="U576" s="36"/>
      <c r="V576" s="36"/>
      <c r="W576" s="74"/>
      <c r="X576" s="36"/>
      <c r="Y576" s="36"/>
      <c r="Z576" s="36"/>
      <c r="AA576" s="74"/>
      <c r="AB576" s="36"/>
      <c r="AC576" s="75"/>
      <c r="AD576" s="75"/>
      <c r="AE576" s="75" t="s">
        <v>352</v>
      </c>
      <c r="AF576" s="32" t="s">
        <v>1626</v>
      </c>
      <c r="AG576" s="32"/>
    </row>
    <row r="577" spans="2:33">
      <c r="B577" s="111"/>
      <c r="C577" s="32"/>
      <c r="D577" s="32"/>
      <c r="E577" s="32"/>
      <c r="F577" s="32"/>
      <c r="G577" s="32"/>
      <c r="H577" s="196"/>
      <c r="I577" s="32"/>
      <c r="J577" s="32"/>
      <c r="K577" s="32"/>
      <c r="L577" s="32"/>
      <c r="M577" s="190"/>
      <c r="N577" s="32"/>
      <c r="O577" s="32"/>
      <c r="P577" s="17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</row>
    <row r="578" spans="2:33">
      <c r="B578" s="111"/>
      <c r="C578" s="32" t="s">
        <v>1627</v>
      </c>
      <c r="D578" s="32"/>
      <c r="E578" s="32"/>
      <c r="F578" s="32"/>
      <c r="G578" s="32"/>
      <c r="H578" s="196"/>
      <c r="I578" s="32"/>
      <c r="J578" s="32"/>
      <c r="K578" s="32"/>
      <c r="L578" s="32"/>
      <c r="M578" s="190"/>
      <c r="N578" s="32"/>
      <c r="O578" s="32"/>
      <c r="P578" s="17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</row>
    <row r="579" spans="2:33">
      <c r="B579" s="63">
        <v>127</v>
      </c>
      <c r="C579" s="64" t="s">
        <v>1628</v>
      </c>
      <c r="D579" s="64" t="s">
        <v>1629</v>
      </c>
      <c r="E579" s="64"/>
      <c r="F579" s="66">
        <v>319</v>
      </c>
      <c r="G579" s="66" t="s">
        <v>1630</v>
      </c>
      <c r="H579" s="280"/>
      <c r="I579" s="66" t="s">
        <v>232</v>
      </c>
      <c r="J579" s="66" t="s">
        <v>1631</v>
      </c>
      <c r="K579" s="66" t="s">
        <v>232</v>
      </c>
      <c r="L579" s="66" t="s">
        <v>245</v>
      </c>
      <c r="M579" s="93">
        <v>33080</v>
      </c>
      <c r="N579" s="32"/>
      <c r="O579" s="94">
        <v>430468</v>
      </c>
      <c r="P579" s="71"/>
      <c r="Q579" s="94"/>
      <c r="R579" s="94" t="s">
        <v>323</v>
      </c>
      <c r="S579" s="94" t="s">
        <v>1632</v>
      </c>
      <c r="T579" s="78">
        <v>190206</v>
      </c>
      <c r="U579" s="79">
        <v>35494</v>
      </c>
      <c r="V579" s="231">
        <v>53920</v>
      </c>
      <c r="W579" s="231"/>
      <c r="X579" s="78"/>
      <c r="Y579" s="78"/>
      <c r="Z579" s="78" t="s">
        <v>1633</v>
      </c>
      <c r="AA579" s="79"/>
      <c r="AB579" s="78"/>
      <c r="AC579" s="80">
        <v>36270</v>
      </c>
      <c r="AD579" s="75"/>
      <c r="AE579" s="75"/>
      <c r="AF579" s="32"/>
      <c r="AG579" s="32"/>
    </row>
    <row r="580" spans="2:33">
      <c r="B580" s="111"/>
      <c r="C580" s="32"/>
      <c r="D580" s="32"/>
      <c r="E580" s="32"/>
      <c r="F580" s="32"/>
      <c r="G580" s="32"/>
      <c r="H580" s="196"/>
      <c r="I580" s="32"/>
      <c r="J580" s="32"/>
      <c r="K580" s="32"/>
      <c r="L580" s="32"/>
      <c r="M580" s="190"/>
      <c r="N580" s="32"/>
      <c r="O580" s="32"/>
      <c r="P580" s="17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</row>
    <row r="581" spans="2:33">
      <c r="B581" s="111"/>
      <c r="C581" s="32" t="s">
        <v>1634</v>
      </c>
      <c r="D581" s="32"/>
      <c r="E581" s="32"/>
      <c r="F581" s="32"/>
      <c r="G581" s="32"/>
      <c r="H581" s="196"/>
      <c r="I581" s="32"/>
      <c r="J581" s="32"/>
      <c r="K581" s="32"/>
      <c r="L581" s="32"/>
      <c r="M581" s="190"/>
      <c r="N581" s="32"/>
      <c r="O581" s="32"/>
      <c r="P581" s="17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</row>
    <row r="582" spans="2:33">
      <c r="B582" s="63">
        <v>128</v>
      </c>
      <c r="C582" s="64" t="s">
        <v>1635</v>
      </c>
      <c r="D582" s="64" t="s">
        <v>1636</v>
      </c>
      <c r="E582" s="64"/>
      <c r="F582" s="66">
        <v>457</v>
      </c>
      <c r="G582" s="66" t="s">
        <v>1637</v>
      </c>
      <c r="H582" s="280"/>
      <c r="I582" s="66" t="s">
        <v>552</v>
      </c>
      <c r="J582" s="66" t="s">
        <v>1638</v>
      </c>
      <c r="K582" s="66" t="s">
        <v>552</v>
      </c>
      <c r="L582" s="66" t="s">
        <v>259</v>
      </c>
      <c r="M582" s="93">
        <v>44646.9</v>
      </c>
      <c r="N582" s="32"/>
      <c r="O582" s="94">
        <f>868217-34729</f>
        <v>833488</v>
      </c>
      <c r="P582" s="71"/>
      <c r="Q582" s="94" t="s">
        <v>552</v>
      </c>
      <c r="R582" s="94" t="s">
        <v>553</v>
      </c>
      <c r="S582" s="94" t="s">
        <v>313</v>
      </c>
      <c r="T582" s="78"/>
      <c r="U582" s="78"/>
      <c r="V582" s="78"/>
      <c r="W582" s="79">
        <v>36132</v>
      </c>
      <c r="X582" s="143">
        <f>421748*100</f>
        <v>42174800</v>
      </c>
      <c r="Y582" s="78">
        <v>421748</v>
      </c>
      <c r="Z582" s="78"/>
      <c r="AA582" s="78"/>
      <c r="AB582" s="95"/>
      <c r="AC582" s="80">
        <v>36136</v>
      </c>
      <c r="AD582" s="75"/>
      <c r="AE582" s="75" t="s">
        <v>1639</v>
      </c>
      <c r="AF582" s="32" t="s">
        <v>1640</v>
      </c>
      <c r="AG582" s="32"/>
    </row>
    <row r="583" spans="2:33">
      <c r="B583" s="111"/>
      <c r="C583" s="32"/>
      <c r="D583" s="32"/>
      <c r="E583" s="32"/>
      <c r="F583" s="32"/>
      <c r="G583" s="32"/>
      <c r="H583" s="196"/>
      <c r="I583" s="32"/>
      <c r="J583" s="32"/>
      <c r="K583" s="32"/>
      <c r="L583" s="32"/>
      <c r="M583" s="190"/>
      <c r="N583" s="32"/>
      <c r="O583" s="32"/>
      <c r="P583" s="17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</row>
    <row r="584" spans="2:33">
      <c r="B584" s="111"/>
      <c r="C584" s="145" t="s">
        <v>1641</v>
      </c>
      <c r="D584" s="32"/>
      <c r="E584" s="32"/>
      <c r="F584" s="32"/>
      <c r="G584" s="32"/>
      <c r="H584" s="196"/>
      <c r="I584" s="32"/>
      <c r="J584" s="32"/>
      <c r="K584" s="32"/>
      <c r="L584" s="32"/>
      <c r="M584" s="190"/>
      <c r="N584" s="32"/>
      <c r="O584" s="32"/>
      <c r="P584" s="17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</row>
    <row r="585" spans="2:33" s="221" customFormat="1">
      <c r="B585" s="63">
        <v>129</v>
      </c>
      <c r="C585" s="64" t="s">
        <v>1642</v>
      </c>
      <c r="D585" s="64" t="s">
        <v>1643</v>
      </c>
      <c r="E585" s="64"/>
      <c r="F585" s="66">
        <v>418</v>
      </c>
      <c r="G585" s="66" t="s">
        <v>1644</v>
      </c>
      <c r="H585" s="280"/>
      <c r="I585" s="66" t="s">
        <v>453</v>
      </c>
      <c r="J585" s="66" t="s">
        <v>1645</v>
      </c>
      <c r="K585" s="66" t="s">
        <v>453</v>
      </c>
      <c r="L585" s="66" t="s">
        <v>233</v>
      </c>
      <c r="M585" s="93">
        <v>30063.3</v>
      </c>
      <c r="N585" s="218"/>
      <c r="O585" s="94">
        <v>300633</v>
      </c>
      <c r="P585" s="219">
        <v>51381</v>
      </c>
      <c r="Q585" s="232"/>
      <c r="R585" s="232" t="s">
        <v>454</v>
      </c>
      <c r="S585" s="232" t="s">
        <v>1646</v>
      </c>
      <c r="T585" s="217"/>
      <c r="U585" s="217"/>
      <c r="V585" s="217"/>
      <c r="W585" s="217"/>
      <c r="X585" s="217"/>
      <c r="Y585" s="217"/>
      <c r="Z585" s="217"/>
      <c r="AA585" s="217"/>
      <c r="AB585" s="233"/>
      <c r="AC585" s="234"/>
      <c r="AD585" s="235"/>
      <c r="AE585" s="235"/>
      <c r="AF585" s="218"/>
      <c r="AG585" s="218"/>
    </row>
    <row r="586" spans="2:33" s="221" customFormat="1">
      <c r="B586" s="87"/>
      <c r="C586" s="88"/>
      <c r="D586" s="88"/>
      <c r="E586" s="88"/>
      <c r="F586" s="56"/>
      <c r="G586" s="56"/>
      <c r="H586" s="194"/>
      <c r="I586" s="56"/>
      <c r="J586" s="56"/>
      <c r="K586" s="56"/>
      <c r="L586" s="56"/>
      <c r="M586" s="58"/>
      <c r="N586" s="218"/>
      <c r="O586" s="90"/>
      <c r="P586" s="236"/>
      <c r="Q586" s="237"/>
      <c r="R586" s="237"/>
      <c r="S586" s="237"/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5"/>
      <c r="AD586" s="235"/>
      <c r="AE586" s="235"/>
      <c r="AF586" s="218"/>
      <c r="AG586" s="218"/>
    </row>
    <row r="587" spans="2:33">
      <c r="B587" s="111"/>
      <c r="C587" s="145" t="s">
        <v>1647</v>
      </c>
      <c r="D587" s="32"/>
      <c r="E587" s="32"/>
      <c r="F587" s="32"/>
      <c r="G587" s="32"/>
      <c r="H587" s="196"/>
      <c r="I587" s="32"/>
      <c r="J587" s="32"/>
      <c r="K587" s="32"/>
      <c r="L587" s="32"/>
      <c r="M587" s="190"/>
      <c r="N587" s="32"/>
      <c r="O587" s="32"/>
      <c r="P587" s="17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</row>
    <row r="588" spans="2:33">
      <c r="B588" s="63">
        <v>130</v>
      </c>
      <c r="C588" s="64" t="s">
        <v>1648</v>
      </c>
      <c r="D588" s="64" t="s">
        <v>1649</v>
      </c>
      <c r="E588" s="64"/>
      <c r="F588" s="66">
        <v>401</v>
      </c>
      <c r="G588" s="66" t="s">
        <v>1650</v>
      </c>
      <c r="H588" s="280"/>
      <c r="I588" s="66" t="s">
        <v>1480</v>
      </c>
      <c r="J588" s="66" t="s">
        <v>1651</v>
      </c>
      <c r="K588" s="66" t="s">
        <v>1480</v>
      </c>
      <c r="L588" s="66" t="s">
        <v>233</v>
      </c>
      <c r="M588" s="93">
        <v>5451.3</v>
      </c>
      <c r="N588" s="32"/>
      <c r="O588" s="94">
        <v>54513</v>
      </c>
      <c r="P588" s="71"/>
      <c r="Q588" s="94"/>
      <c r="R588" s="94" t="s">
        <v>1482</v>
      </c>
      <c r="S588" s="94" t="s">
        <v>1164</v>
      </c>
      <c r="T588" s="78"/>
      <c r="U588" s="78"/>
      <c r="V588" s="78"/>
      <c r="W588" s="78"/>
      <c r="X588" s="78"/>
      <c r="Y588" s="78"/>
      <c r="Z588" s="78">
        <v>26418</v>
      </c>
      <c r="AA588" s="79">
        <v>35748</v>
      </c>
      <c r="AB588" s="78">
        <v>692</v>
      </c>
      <c r="AC588" s="80">
        <v>35769</v>
      </c>
      <c r="AD588" s="75"/>
      <c r="AE588" s="75"/>
      <c r="AF588" s="32" t="s">
        <v>1652</v>
      </c>
      <c r="AG588" s="32"/>
    </row>
    <row r="589" spans="2:33">
      <c r="B589" s="111"/>
      <c r="C589" s="32"/>
      <c r="D589" s="32"/>
      <c r="E589" s="32"/>
      <c r="F589" s="32"/>
      <c r="G589" s="32"/>
      <c r="H589" s="196"/>
      <c r="I589" s="32"/>
      <c r="J589" s="32"/>
      <c r="K589" s="32"/>
      <c r="L589" s="32"/>
      <c r="M589" s="190"/>
      <c r="N589" s="32"/>
      <c r="O589" s="32"/>
      <c r="P589" s="17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</row>
    <row r="590" spans="2:33">
      <c r="B590" s="111"/>
      <c r="C590" s="145" t="s">
        <v>1653</v>
      </c>
      <c r="D590" s="32"/>
      <c r="E590" s="32"/>
      <c r="F590" s="32"/>
      <c r="G590" s="32"/>
      <c r="H590" s="196"/>
      <c r="I590" s="32"/>
      <c r="J590" s="32"/>
      <c r="K590" s="32"/>
      <c r="L590" s="32"/>
      <c r="M590" s="190"/>
      <c r="N590" s="32"/>
      <c r="O590" s="32"/>
      <c r="P590" s="17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</row>
    <row r="591" spans="2:33">
      <c r="B591" s="63">
        <v>131</v>
      </c>
      <c r="C591" s="64" t="s">
        <v>1654</v>
      </c>
      <c r="D591" s="64" t="s">
        <v>1655</v>
      </c>
      <c r="E591" s="64"/>
      <c r="F591" s="66">
        <v>177</v>
      </c>
      <c r="G591" s="66" t="s">
        <v>1656</v>
      </c>
      <c r="H591" s="280"/>
      <c r="I591" s="66" t="s">
        <v>232</v>
      </c>
      <c r="J591" s="66" t="s">
        <v>1657</v>
      </c>
      <c r="K591" s="66" t="s">
        <v>232</v>
      </c>
      <c r="L591" s="66" t="s">
        <v>233</v>
      </c>
      <c r="M591" s="93">
        <v>16022.2</v>
      </c>
      <c r="N591" s="32"/>
      <c r="O591" s="94">
        <v>160222</v>
      </c>
      <c r="P591" s="71"/>
      <c r="Q591" s="123"/>
      <c r="R591" s="123" t="s">
        <v>323</v>
      </c>
      <c r="S591" s="123" t="s">
        <v>1658</v>
      </c>
      <c r="T591" s="124"/>
      <c r="U591" s="124"/>
      <c r="V591" s="124"/>
      <c r="W591" s="124"/>
      <c r="X591" s="124"/>
      <c r="Y591" s="124"/>
      <c r="Z591" s="124">
        <v>81713</v>
      </c>
      <c r="AA591" s="125">
        <v>35961</v>
      </c>
      <c r="AB591" s="124">
        <v>462</v>
      </c>
      <c r="AC591" s="239">
        <v>35976</v>
      </c>
      <c r="AD591" s="75"/>
      <c r="AE591" s="75"/>
      <c r="AF591" s="32"/>
      <c r="AG591" s="32"/>
    </row>
    <row r="592" spans="2:33" s="83" customFormat="1">
      <c r="B592" s="87"/>
      <c r="C592" s="88"/>
      <c r="D592" s="88"/>
      <c r="E592" s="88"/>
      <c r="F592" s="56"/>
      <c r="G592" s="56"/>
      <c r="H592" s="194"/>
      <c r="I592" s="56"/>
      <c r="J592" s="56"/>
      <c r="K592" s="56"/>
      <c r="L592" s="56"/>
      <c r="M592" s="58"/>
      <c r="N592" s="36"/>
      <c r="O592" s="90"/>
      <c r="P592" s="60"/>
      <c r="Q592" s="90"/>
      <c r="R592" s="90"/>
      <c r="S592" s="90"/>
      <c r="T592" s="36"/>
      <c r="U592" s="36"/>
      <c r="V592" s="36"/>
      <c r="W592" s="36"/>
      <c r="X592" s="36"/>
      <c r="Y592" s="36"/>
      <c r="Z592" s="36"/>
      <c r="AA592" s="74"/>
      <c r="AB592" s="36"/>
      <c r="AC592" s="75"/>
      <c r="AD592" s="75"/>
      <c r="AE592" s="75"/>
      <c r="AF592" s="36"/>
      <c r="AG592" s="36"/>
    </row>
    <row r="593" spans="2:33" s="83" customFormat="1">
      <c r="B593" s="87"/>
      <c r="C593" s="145" t="s">
        <v>1659</v>
      </c>
      <c r="D593" s="88"/>
      <c r="E593" s="88"/>
      <c r="F593" s="56"/>
      <c r="G593" s="56"/>
      <c r="H593" s="194"/>
      <c r="I593" s="56"/>
      <c r="J593" s="56"/>
      <c r="K593" s="56"/>
      <c r="L593" s="56"/>
      <c r="M593" s="58"/>
      <c r="N593" s="36"/>
      <c r="O593" s="90"/>
      <c r="P593" s="60"/>
      <c r="Q593" s="90"/>
      <c r="R593" s="90"/>
      <c r="S593" s="90"/>
      <c r="T593" s="36"/>
      <c r="U593" s="36"/>
      <c r="V593" s="36"/>
      <c r="W593" s="36"/>
      <c r="X593" s="36"/>
      <c r="Y593" s="36"/>
      <c r="Z593" s="36"/>
      <c r="AA593" s="74"/>
      <c r="AB593" s="36"/>
      <c r="AC593" s="75"/>
      <c r="AD593" s="75"/>
      <c r="AE593" s="75"/>
      <c r="AF593" s="36"/>
      <c r="AG593" s="36"/>
    </row>
    <row r="594" spans="2:33">
      <c r="B594" s="63">
        <v>132</v>
      </c>
      <c r="C594" s="64" t="s">
        <v>1660</v>
      </c>
      <c r="D594" s="64" t="s">
        <v>1661</v>
      </c>
      <c r="E594" s="64"/>
      <c r="F594" s="66">
        <v>29</v>
      </c>
      <c r="G594" s="66" t="s">
        <v>1662</v>
      </c>
      <c r="H594" s="280"/>
      <c r="I594" s="66" t="s">
        <v>232</v>
      </c>
      <c r="J594" s="66" t="s">
        <v>1663</v>
      </c>
      <c r="K594" s="66" t="s">
        <v>232</v>
      </c>
      <c r="L594" s="66" t="s">
        <v>245</v>
      </c>
      <c r="M594" s="93">
        <v>17620.7</v>
      </c>
      <c r="N594" s="32"/>
      <c r="O594" s="94">
        <v>123348</v>
      </c>
      <c r="P594" s="71"/>
      <c r="Q594" s="148"/>
      <c r="R594" s="148" t="s">
        <v>323</v>
      </c>
      <c r="S594" s="148" t="s">
        <v>317</v>
      </c>
      <c r="T594" s="62"/>
      <c r="U594" s="240">
        <v>35462</v>
      </c>
      <c r="V594" s="62">
        <v>123348</v>
      </c>
      <c r="W594" s="62"/>
      <c r="X594" s="62"/>
      <c r="Y594" s="62"/>
      <c r="Z594" s="62"/>
      <c r="AA594" s="62"/>
      <c r="AB594" s="62"/>
      <c r="AC594" s="91"/>
      <c r="AD594" s="92"/>
      <c r="AE594" s="92"/>
      <c r="AF594" s="32"/>
      <c r="AG594" s="32"/>
    </row>
    <row r="595" spans="2:33">
      <c r="B595" s="111"/>
      <c r="C595" s="32"/>
      <c r="D595" s="32"/>
      <c r="E595" s="32"/>
      <c r="F595" s="32"/>
      <c r="G595" s="32"/>
      <c r="H595" s="196"/>
      <c r="I595" s="32"/>
      <c r="J595" s="32"/>
      <c r="K595" s="32"/>
      <c r="L595" s="32"/>
      <c r="M595" s="190"/>
      <c r="N595" s="32"/>
      <c r="O595" s="32"/>
      <c r="P595" s="17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</row>
    <row r="596" spans="2:33">
      <c r="B596" s="111"/>
      <c r="C596" s="145" t="s">
        <v>1664</v>
      </c>
      <c r="D596" s="32"/>
      <c r="E596" s="32"/>
      <c r="F596" s="32"/>
      <c r="G596" s="32"/>
      <c r="H596" s="196"/>
      <c r="I596" s="32"/>
      <c r="J596" s="32"/>
      <c r="K596" s="32"/>
      <c r="L596" s="32"/>
      <c r="M596" s="190"/>
      <c r="N596" s="32"/>
      <c r="O596" s="32"/>
      <c r="P596" s="17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</row>
    <row r="597" spans="2:33">
      <c r="B597" s="63">
        <v>133</v>
      </c>
      <c r="C597" s="64" t="s">
        <v>1665</v>
      </c>
      <c r="D597" s="64" t="s">
        <v>1666</v>
      </c>
      <c r="E597" s="64"/>
      <c r="F597" s="66">
        <v>340</v>
      </c>
      <c r="G597" s="66" t="s">
        <v>1667</v>
      </c>
      <c r="H597" s="280"/>
      <c r="I597" s="66" t="s">
        <v>688</v>
      </c>
      <c r="J597" s="66" t="s">
        <v>1668</v>
      </c>
      <c r="K597" s="66" t="s">
        <v>688</v>
      </c>
      <c r="L597" s="66" t="s">
        <v>259</v>
      </c>
      <c r="M597" s="93">
        <v>16238.6</v>
      </c>
      <c r="N597" s="32"/>
      <c r="O597" s="94">
        <v>143185</v>
      </c>
      <c r="P597" s="71"/>
      <c r="Q597" s="94" t="s">
        <v>234</v>
      </c>
      <c r="R597" s="94" t="s">
        <v>689</v>
      </c>
      <c r="S597" s="94" t="s">
        <v>1669</v>
      </c>
      <c r="T597" s="78">
        <v>30068.9</v>
      </c>
      <c r="U597" s="78"/>
      <c r="V597" s="78"/>
      <c r="W597" s="79">
        <v>36174</v>
      </c>
      <c r="X597" s="78">
        <v>13830.3</v>
      </c>
      <c r="Y597" s="78">
        <v>-19201</v>
      </c>
      <c r="Z597" s="78"/>
      <c r="AA597" s="78"/>
      <c r="AB597" s="95"/>
      <c r="AC597" s="80">
        <v>36178</v>
      </c>
      <c r="AD597" s="75"/>
      <c r="AE597" s="75" t="s">
        <v>655</v>
      </c>
      <c r="AF597" s="32" t="s">
        <v>1670</v>
      </c>
      <c r="AG597" s="32"/>
    </row>
    <row r="598" spans="2:33">
      <c r="B598" s="111"/>
      <c r="C598" s="32"/>
      <c r="D598" s="32"/>
      <c r="E598" s="32"/>
      <c r="F598" s="32"/>
      <c r="G598" s="32"/>
      <c r="H598" s="196"/>
      <c r="I598" s="32"/>
      <c r="J598" s="32"/>
      <c r="K598" s="32"/>
      <c r="L598" s="32"/>
      <c r="M598" s="190"/>
      <c r="N598" s="32"/>
      <c r="O598" s="32"/>
      <c r="P598" s="17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</row>
    <row r="599" spans="2:33">
      <c r="B599" s="111"/>
      <c r="C599" s="145" t="s">
        <v>1671</v>
      </c>
      <c r="D599" s="32"/>
      <c r="E599" s="32"/>
      <c r="F599" s="32"/>
      <c r="G599" s="32"/>
      <c r="H599" s="196"/>
      <c r="I599" s="32"/>
      <c r="J599" s="32"/>
      <c r="K599" s="32"/>
      <c r="L599" s="32"/>
      <c r="M599" s="190"/>
      <c r="N599" s="32"/>
      <c r="O599" s="32"/>
      <c r="P599" s="17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</row>
    <row r="600" spans="2:33">
      <c r="B600" s="63">
        <v>134</v>
      </c>
      <c r="C600" s="64" t="s">
        <v>1672</v>
      </c>
      <c r="D600" s="64" t="s">
        <v>1673</v>
      </c>
      <c r="E600" s="64"/>
      <c r="F600" s="66">
        <v>327</v>
      </c>
      <c r="G600" s="66" t="s">
        <v>1674</v>
      </c>
      <c r="H600" s="280"/>
      <c r="I600" s="66" t="s">
        <v>503</v>
      </c>
      <c r="J600" s="66" t="s">
        <v>1675</v>
      </c>
      <c r="K600" s="66" t="s">
        <v>503</v>
      </c>
      <c r="L600" s="66" t="s">
        <v>380</v>
      </c>
      <c r="M600" s="93">
        <v>39639</v>
      </c>
      <c r="N600" s="32"/>
      <c r="O600" s="94">
        <v>39639</v>
      </c>
      <c r="P600" s="71"/>
      <c r="Q600" s="66"/>
      <c r="R600" s="66" t="s">
        <v>504</v>
      </c>
      <c r="S600" s="66" t="s">
        <v>564</v>
      </c>
      <c r="T600" s="78"/>
      <c r="U600" s="78"/>
      <c r="V600" s="78"/>
      <c r="W600" s="78"/>
      <c r="X600" s="78"/>
      <c r="Y600" s="78"/>
      <c r="Z600" s="78"/>
      <c r="AA600" s="78"/>
      <c r="AB600" s="78"/>
      <c r="AC600" s="96"/>
      <c r="AD600" s="92"/>
      <c r="AE600" s="92"/>
      <c r="AF600" s="32"/>
      <c r="AG600" s="32"/>
    </row>
    <row r="601" spans="2:33">
      <c r="B601" s="111"/>
      <c r="C601" s="32"/>
      <c r="D601" s="32"/>
      <c r="E601" s="32"/>
      <c r="F601" s="32"/>
      <c r="G601" s="32"/>
      <c r="H601" s="196"/>
      <c r="I601" s="32"/>
      <c r="J601" s="32"/>
      <c r="K601" s="32"/>
      <c r="L601" s="32"/>
      <c r="M601" s="190"/>
      <c r="N601" s="32"/>
      <c r="O601" s="32"/>
      <c r="P601" s="17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</row>
    <row r="602" spans="2:33">
      <c r="B602" s="111"/>
      <c r="C602" s="145" t="s">
        <v>1676</v>
      </c>
      <c r="D602" s="32"/>
      <c r="E602" s="32"/>
      <c r="F602" s="32"/>
      <c r="G602" s="32"/>
      <c r="H602" s="196"/>
      <c r="I602" s="32"/>
      <c r="J602" s="32"/>
      <c r="K602" s="32"/>
      <c r="L602" s="32"/>
      <c r="M602" s="190"/>
      <c r="N602" s="32"/>
      <c r="O602" s="32"/>
      <c r="P602" s="17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</row>
    <row r="603" spans="2:33">
      <c r="B603" s="63">
        <v>135</v>
      </c>
      <c r="C603" s="64" t="s">
        <v>1677</v>
      </c>
      <c r="D603" s="64" t="s">
        <v>1678</v>
      </c>
      <c r="E603" s="64"/>
      <c r="F603" s="66">
        <v>168</v>
      </c>
      <c r="G603" s="66" t="s">
        <v>1679</v>
      </c>
      <c r="H603" s="280"/>
      <c r="I603" s="66" t="s">
        <v>232</v>
      </c>
      <c r="J603" s="66" t="s">
        <v>1680</v>
      </c>
      <c r="K603" s="66" t="s">
        <v>232</v>
      </c>
      <c r="L603" s="66" t="s">
        <v>233</v>
      </c>
      <c r="M603" s="93">
        <v>17784.7</v>
      </c>
      <c r="N603" s="32"/>
      <c r="O603" s="94">
        <v>177847</v>
      </c>
      <c r="P603" s="71"/>
      <c r="Q603" s="66"/>
      <c r="R603" s="66" t="s">
        <v>292</v>
      </c>
      <c r="S603" s="66" t="s">
        <v>678</v>
      </c>
      <c r="T603" s="99">
        <v>50851</v>
      </c>
      <c r="U603" s="78"/>
      <c r="V603" s="78"/>
      <c r="W603" s="78"/>
      <c r="X603" s="78"/>
      <c r="Y603" s="78"/>
      <c r="Z603" s="78"/>
      <c r="AA603" s="78"/>
      <c r="AB603" s="78"/>
      <c r="AC603" s="96"/>
      <c r="AD603" s="92"/>
      <c r="AE603" s="92"/>
      <c r="AF603" s="32"/>
      <c r="AG603" s="32"/>
    </row>
    <row r="604" spans="2:33" ht="9.75" customHeight="1">
      <c r="B604" s="111"/>
      <c r="C604" s="32"/>
      <c r="D604" s="32"/>
      <c r="E604" s="32"/>
      <c r="F604" s="32"/>
      <c r="G604" s="32"/>
      <c r="H604" s="196"/>
      <c r="I604" s="32"/>
      <c r="J604" s="32"/>
      <c r="K604" s="32"/>
      <c r="L604" s="32"/>
      <c r="M604" s="190"/>
      <c r="N604" s="32"/>
      <c r="O604" s="32"/>
      <c r="P604" s="17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</row>
    <row r="605" spans="2:33">
      <c r="B605" s="111"/>
      <c r="C605" s="145" t="s">
        <v>1681</v>
      </c>
      <c r="D605" s="32"/>
      <c r="E605" s="32"/>
      <c r="F605" s="32"/>
      <c r="G605" s="32"/>
      <c r="H605" s="196"/>
      <c r="I605" s="32"/>
      <c r="J605" s="32"/>
      <c r="K605" s="32"/>
      <c r="L605" s="32"/>
      <c r="M605" s="190"/>
      <c r="N605" s="32"/>
      <c r="O605" s="32"/>
      <c r="P605" s="17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</row>
    <row r="606" spans="2:33">
      <c r="B606" s="63">
        <v>136</v>
      </c>
      <c r="C606" s="64" t="s">
        <v>1682</v>
      </c>
      <c r="D606" s="64" t="s">
        <v>620</v>
      </c>
      <c r="E606" s="64"/>
      <c r="F606" s="66">
        <v>291</v>
      </c>
      <c r="G606" s="66" t="s">
        <v>1683</v>
      </c>
      <c r="H606" s="280"/>
      <c r="I606" s="66" t="s">
        <v>232</v>
      </c>
      <c r="J606" s="66" t="s">
        <v>1684</v>
      </c>
      <c r="K606" s="66" t="s">
        <v>232</v>
      </c>
      <c r="L606" s="66" t="s">
        <v>233</v>
      </c>
      <c r="M606" s="93">
        <v>9244.1</v>
      </c>
      <c r="N606" s="32"/>
      <c r="O606" s="94">
        <v>92441</v>
      </c>
      <c r="P606" s="71"/>
      <c r="Q606" s="66"/>
      <c r="R606" s="66" t="s">
        <v>292</v>
      </c>
      <c r="S606" s="66" t="s">
        <v>621</v>
      </c>
      <c r="T606" s="78"/>
      <c r="U606" s="78"/>
      <c r="V606" s="78"/>
      <c r="W606" s="78"/>
      <c r="X606" s="78"/>
      <c r="Y606" s="78"/>
      <c r="Z606" s="78"/>
      <c r="AA606" s="78"/>
      <c r="AB606" s="78"/>
      <c r="AC606" s="96"/>
      <c r="AD606" s="92"/>
      <c r="AE606" s="92">
        <v>9244100</v>
      </c>
      <c r="AF606" s="32">
        <f>+AE606*0.04</f>
        <v>369764</v>
      </c>
      <c r="AG606" s="32"/>
    </row>
    <row r="607" spans="2:33">
      <c r="B607" s="111"/>
      <c r="C607" s="145"/>
      <c r="D607" s="32"/>
      <c r="E607" s="32"/>
      <c r="F607" s="32"/>
      <c r="G607" s="32"/>
      <c r="H607" s="196"/>
      <c r="I607" s="32"/>
      <c r="J607" s="32"/>
      <c r="K607" s="32"/>
      <c r="L607" s="32"/>
      <c r="M607" s="190"/>
      <c r="N607" s="32"/>
      <c r="O607" s="32"/>
      <c r="P607" s="17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</row>
    <row r="608" spans="2:33">
      <c r="B608" s="111"/>
      <c r="C608" s="145" t="s">
        <v>1685</v>
      </c>
      <c r="D608" s="32"/>
      <c r="E608" s="32"/>
      <c r="F608" s="32"/>
      <c r="G608" s="32"/>
      <c r="H608" s="196"/>
      <c r="I608" s="32"/>
      <c r="J608" s="32"/>
      <c r="K608" s="32"/>
      <c r="L608" s="32"/>
      <c r="M608" s="190"/>
      <c r="N608" s="32"/>
      <c r="O608" s="32"/>
      <c r="P608" s="17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</row>
    <row r="609" spans="2:33">
      <c r="B609" s="63">
        <v>137</v>
      </c>
      <c r="C609" s="64" t="s">
        <v>1686</v>
      </c>
      <c r="D609" s="64" t="s">
        <v>1687</v>
      </c>
      <c r="E609" s="64"/>
      <c r="F609" s="66">
        <v>360</v>
      </c>
      <c r="G609" s="66" t="s">
        <v>1688</v>
      </c>
      <c r="H609" s="280"/>
      <c r="I609" s="66" t="s">
        <v>349</v>
      </c>
      <c r="J609" s="66" t="s">
        <v>1689</v>
      </c>
      <c r="K609" s="66" t="s">
        <v>349</v>
      </c>
      <c r="L609" s="66" t="s">
        <v>245</v>
      </c>
      <c r="M609" s="93">
        <v>5117.2</v>
      </c>
      <c r="N609" s="32"/>
      <c r="O609" s="94">
        <v>51172</v>
      </c>
      <c r="P609" s="71"/>
      <c r="Q609" s="94"/>
      <c r="R609" s="94" t="s">
        <v>351</v>
      </c>
      <c r="S609" s="94" t="s">
        <v>1690</v>
      </c>
      <c r="T609" s="78"/>
      <c r="U609" s="78"/>
      <c r="V609" s="78"/>
      <c r="W609" s="78"/>
      <c r="X609" s="78"/>
      <c r="Y609" s="78"/>
      <c r="Z609" s="78">
        <v>26097</v>
      </c>
      <c r="AA609" s="79">
        <v>35769</v>
      </c>
      <c r="AB609" s="78">
        <v>768</v>
      </c>
      <c r="AC609" s="80">
        <v>35828</v>
      </c>
      <c r="AD609" s="75"/>
      <c r="AE609" s="75"/>
      <c r="AF609" s="32"/>
      <c r="AG609" s="32"/>
    </row>
    <row r="610" spans="2:33">
      <c r="B610" s="111"/>
      <c r="C610" s="32"/>
      <c r="D610" s="32"/>
      <c r="E610" s="32"/>
      <c r="F610" s="32"/>
      <c r="G610" s="32"/>
      <c r="H610" s="196"/>
      <c r="I610" s="32"/>
      <c r="J610" s="32"/>
      <c r="K610" s="32"/>
      <c r="L610" s="32"/>
      <c r="M610" s="190"/>
      <c r="N610" s="32"/>
      <c r="O610" s="32"/>
      <c r="P610" s="17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</row>
    <row r="611" spans="2:33">
      <c r="B611" s="111"/>
      <c r="C611" s="145" t="s">
        <v>1691</v>
      </c>
      <c r="D611" s="32"/>
      <c r="E611" s="32"/>
      <c r="F611" s="32"/>
      <c r="G611" s="32"/>
      <c r="H611" s="196"/>
      <c r="I611" s="32"/>
      <c r="J611" s="32"/>
      <c r="K611" s="32"/>
      <c r="L611" s="32"/>
      <c r="M611" s="190"/>
      <c r="N611" s="32"/>
      <c r="O611" s="32"/>
      <c r="P611" s="17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</row>
    <row r="612" spans="2:33">
      <c r="B612" s="63">
        <v>138</v>
      </c>
      <c r="C612" s="64" t="s">
        <v>1692</v>
      </c>
      <c r="D612" s="64" t="s">
        <v>1693</v>
      </c>
      <c r="E612" s="64"/>
      <c r="F612" s="66">
        <v>229</v>
      </c>
      <c r="G612" s="67" t="s">
        <v>1694</v>
      </c>
      <c r="H612" s="278"/>
      <c r="I612" s="66" t="s">
        <v>232</v>
      </c>
      <c r="J612" s="66" t="s">
        <v>1695</v>
      </c>
      <c r="K612" s="66" t="s">
        <v>232</v>
      </c>
      <c r="L612" s="66" t="s">
        <v>233</v>
      </c>
      <c r="M612" s="93">
        <v>5071.6000000000004</v>
      </c>
      <c r="N612" s="32"/>
      <c r="O612" s="94">
        <v>50716</v>
      </c>
      <c r="P612" s="71"/>
      <c r="Q612" s="94"/>
      <c r="R612" s="94" t="s">
        <v>323</v>
      </c>
      <c r="S612" s="94" t="s">
        <v>1696</v>
      </c>
      <c r="T612" s="78"/>
      <c r="U612" s="78"/>
      <c r="V612" s="78"/>
      <c r="W612" s="78"/>
      <c r="X612" s="78"/>
      <c r="Y612" s="78"/>
      <c r="Z612" s="78">
        <v>15210</v>
      </c>
      <c r="AA612" s="79">
        <v>35734</v>
      </c>
      <c r="AB612" s="78">
        <v>631</v>
      </c>
      <c r="AC612" s="80">
        <v>35818</v>
      </c>
      <c r="AD612" s="75"/>
      <c r="AE612" s="75"/>
      <c r="AF612" s="32"/>
      <c r="AG612" s="32"/>
    </row>
    <row r="613" spans="2:33">
      <c r="B613" s="111"/>
      <c r="C613" s="241"/>
      <c r="D613" s="32"/>
      <c r="E613" s="32"/>
      <c r="F613" s="32"/>
      <c r="G613" s="32"/>
      <c r="H613" s="196"/>
      <c r="I613" s="32"/>
      <c r="J613" s="32"/>
      <c r="K613" s="32"/>
      <c r="L613" s="32"/>
      <c r="M613" s="190"/>
      <c r="N613" s="32"/>
      <c r="O613" s="32"/>
      <c r="P613" s="17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</row>
    <row r="614" spans="2:33">
      <c r="B614" s="111"/>
      <c r="C614" s="145" t="s">
        <v>1697</v>
      </c>
      <c r="D614" s="32"/>
      <c r="E614" s="32"/>
      <c r="F614" s="32"/>
      <c r="G614" s="32"/>
      <c r="H614" s="196"/>
      <c r="I614" s="32"/>
      <c r="J614" s="32"/>
      <c r="K614" s="32"/>
      <c r="L614" s="32"/>
      <c r="M614" s="190"/>
      <c r="N614" s="32"/>
      <c r="O614" s="32"/>
      <c r="P614" s="17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</row>
    <row r="615" spans="2:33">
      <c r="B615" s="63">
        <v>139</v>
      </c>
      <c r="C615" s="64" t="s">
        <v>1698</v>
      </c>
      <c r="D615" s="64" t="s">
        <v>1699</v>
      </c>
      <c r="E615" s="64"/>
      <c r="F615" s="66">
        <v>84</v>
      </c>
      <c r="G615" s="67" t="s">
        <v>1700</v>
      </c>
      <c r="H615" s="278"/>
      <c r="I615" s="66" t="s">
        <v>232</v>
      </c>
      <c r="J615" s="66" t="s">
        <v>1701</v>
      </c>
      <c r="K615" s="66" t="s">
        <v>232</v>
      </c>
      <c r="L615" s="66" t="s">
        <v>245</v>
      </c>
      <c r="M615" s="93">
        <v>14084.6</v>
      </c>
      <c r="N615" s="32"/>
      <c r="O615" s="94">
        <v>140846</v>
      </c>
      <c r="P615" s="71"/>
      <c r="Q615" s="66"/>
      <c r="R615" s="66" t="s">
        <v>292</v>
      </c>
      <c r="S615" s="66" t="s">
        <v>899</v>
      </c>
      <c r="T615" s="78"/>
      <c r="U615" s="78"/>
      <c r="V615" s="78"/>
      <c r="W615" s="78"/>
      <c r="X615" s="78"/>
      <c r="Y615" s="78"/>
      <c r="Z615" s="78"/>
      <c r="AA615" s="78"/>
      <c r="AB615" s="78"/>
      <c r="AC615" s="96"/>
      <c r="AD615" s="92"/>
      <c r="AE615" s="92"/>
      <c r="AF615" s="32"/>
      <c r="AG615" s="32"/>
    </row>
    <row r="616" spans="2:33">
      <c r="B616" s="111"/>
      <c r="C616" s="32"/>
      <c r="D616" s="32"/>
      <c r="E616" s="32"/>
      <c r="F616" s="32"/>
      <c r="G616" s="32"/>
      <c r="H616" s="196"/>
      <c r="I616" s="32"/>
      <c r="J616" s="32"/>
      <c r="K616" s="32"/>
      <c r="L616" s="32"/>
      <c r="M616" s="190"/>
      <c r="N616" s="32"/>
      <c r="O616" s="32"/>
      <c r="P616" s="17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</row>
    <row r="617" spans="2:33">
      <c r="B617" s="111"/>
      <c r="C617" s="145" t="s">
        <v>1702</v>
      </c>
      <c r="D617" s="32"/>
      <c r="E617" s="32"/>
      <c r="F617" s="32"/>
      <c r="G617" s="32"/>
      <c r="H617" s="196"/>
      <c r="I617" s="32"/>
      <c r="J617" s="32"/>
      <c r="K617" s="32"/>
      <c r="L617" s="32"/>
      <c r="M617" s="190"/>
      <c r="N617" s="32"/>
      <c r="O617" s="32"/>
      <c r="P617" s="17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</row>
    <row r="618" spans="2:33">
      <c r="B618" s="63">
        <v>140</v>
      </c>
      <c r="C618" s="64" t="s">
        <v>1703</v>
      </c>
      <c r="D618" s="64" t="s">
        <v>1704</v>
      </c>
      <c r="E618" s="64"/>
      <c r="F618" s="66">
        <v>287</v>
      </c>
      <c r="G618" s="67" t="s">
        <v>1705</v>
      </c>
      <c r="H618" s="278"/>
      <c r="I618" s="66" t="s">
        <v>304</v>
      </c>
      <c r="J618" s="66" t="s">
        <v>1706</v>
      </c>
      <c r="K618" s="66" t="s">
        <v>304</v>
      </c>
      <c r="L618" s="66" t="s">
        <v>245</v>
      </c>
      <c r="M618" s="93">
        <v>13877.2</v>
      </c>
      <c r="N618" s="32"/>
      <c r="O618" s="94">
        <v>138772</v>
      </c>
      <c r="P618" s="71"/>
      <c r="Q618" s="94"/>
      <c r="R618" s="94" t="s">
        <v>306</v>
      </c>
      <c r="S618" s="94" t="s">
        <v>1707</v>
      </c>
      <c r="T618" s="78"/>
      <c r="U618" s="78"/>
      <c r="V618" s="78"/>
      <c r="W618" s="78"/>
      <c r="X618" s="78"/>
      <c r="Y618" s="78"/>
      <c r="Z618" s="78">
        <v>70774</v>
      </c>
      <c r="AA618" s="79">
        <v>35748</v>
      </c>
      <c r="AB618" s="78">
        <v>684</v>
      </c>
      <c r="AC618" s="80">
        <v>35818</v>
      </c>
      <c r="AD618" s="75"/>
      <c r="AE618" s="75"/>
      <c r="AF618" s="32"/>
      <c r="AG618" s="32"/>
    </row>
    <row r="619" spans="2:33">
      <c r="B619" s="111"/>
      <c r="C619" s="32"/>
      <c r="D619" s="32"/>
      <c r="E619" s="32"/>
      <c r="F619" s="32"/>
      <c r="G619" s="32"/>
      <c r="H619" s="196"/>
      <c r="I619" s="32"/>
      <c r="J619" s="32"/>
      <c r="K619" s="32"/>
      <c r="L619" s="32"/>
      <c r="M619" s="190"/>
      <c r="N619" s="32"/>
      <c r="O619" s="32"/>
      <c r="P619" s="17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</row>
    <row r="620" spans="2:33">
      <c r="B620" s="111"/>
      <c r="C620" s="145" t="s">
        <v>1708</v>
      </c>
      <c r="D620" s="32"/>
      <c r="E620" s="32"/>
      <c r="F620" s="32"/>
      <c r="G620" s="32"/>
      <c r="H620" s="196"/>
      <c r="I620" s="32"/>
      <c r="J620" s="32"/>
      <c r="K620" s="32"/>
      <c r="L620" s="32"/>
      <c r="M620" s="190"/>
      <c r="N620" s="32"/>
      <c r="O620" s="32"/>
      <c r="P620" s="17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</row>
    <row r="621" spans="2:33">
      <c r="B621" s="63">
        <v>141</v>
      </c>
      <c r="C621" s="64" t="s">
        <v>1709</v>
      </c>
      <c r="D621" s="64" t="s">
        <v>1710</v>
      </c>
      <c r="E621" s="64"/>
      <c r="F621" s="66">
        <v>89</v>
      </c>
      <c r="G621" s="67" t="s">
        <v>1711</v>
      </c>
      <c r="H621" s="278"/>
      <c r="I621" s="66" t="s">
        <v>232</v>
      </c>
      <c r="J621" s="66" t="s">
        <v>1712</v>
      </c>
      <c r="K621" s="66" t="s">
        <v>232</v>
      </c>
      <c r="L621" s="66" t="s">
        <v>350</v>
      </c>
      <c r="M621" s="93">
        <v>56951.8</v>
      </c>
      <c r="N621" s="32"/>
      <c r="O621" s="94">
        <v>569518</v>
      </c>
      <c r="P621" s="71"/>
      <c r="Q621" s="66"/>
      <c r="R621" s="66" t="s">
        <v>292</v>
      </c>
      <c r="S621" s="66" t="s">
        <v>450</v>
      </c>
      <c r="T621" s="78"/>
      <c r="U621" s="78"/>
      <c r="V621" s="78"/>
      <c r="W621" s="78"/>
      <c r="X621" s="78"/>
      <c r="Y621" s="78"/>
      <c r="Z621" s="78"/>
      <c r="AA621" s="78"/>
      <c r="AB621" s="78"/>
      <c r="AC621" s="96"/>
      <c r="AD621" s="92"/>
      <c r="AE621" s="92"/>
      <c r="AF621" s="32"/>
      <c r="AG621" s="32"/>
    </row>
    <row r="622" spans="2:33">
      <c r="B622" s="111"/>
      <c r="C622" s="32"/>
      <c r="D622" s="32"/>
      <c r="E622" s="32"/>
      <c r="F622" s="32"/>
      <c r="G622" s="32"/>
      <c r="H622" s="196"/>
      <c r="I622" s="32"/>
      <c r="J622" s="32"/>
      <c r="K622" s="32"/>
      <c r="L622" s="32"/>
      <c r="M622" s="190"/>
      <c r="N622" s="32"/>
      <c r="O622" s="32"/>
      <c r="P622" s="17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</row>
    <row r="623" spans="2:33">
      <c r="B623" s="111"/>
      <c r="C623" s="145" t="s">
        <v>1713</v>
      </c>
      <c r="D623" s="32"/>
      <c r="E623" s="32"/>
      <c r="F623" s="32"/>
      <c r="G623" s="32"/>
      <c r="H623" s="196"/>
      <c r="I623" s="32"/>
      <c r="J623" s="32"/>
      <c r="K623" s="32"/>
      <c r="L623" s="32"/>
      <c r="M623" s="190"/>
      <c r="N623" s="32"/>
      <c r="O623" s="32"/>
      <c r="P623" s="17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</row>
    <row r="624" spans="2:33">
      <c r="B624" s="63">
        <v>142</v>
      </c>
      <c r="C624" s="64" t="s">
        <v>1714</v>
      </c>
      <c r="D624" s="64" t="s">
        <v>1715</v>
      </c>
      <c r="E624" s="64"/>
      <c r="F624" s="66">
        <v>467</v>
      </c>
      <c r="G624" s="67" t="s">
        <v>1716</v>
      </c>
      <c r="H624" s="278"/>
      <c r="I624" s="66" t="s">
        <v>232</v>
      </c>
      <c r="J624" s="66" t="s">
        <v>1717</v>
      </c>
      <c r="K624" s="66" t="s">
        <v>232</v>
      </c>
      <c r="L624" s="66" t="s">
        <v>245</v>
      </c>
      <c r="M624" s="93">
        <v>17984.7</v>
      </c>
      <c r="N624" s="32"/>
      <c r="O624" s="94">
        <v>179847</v>
      </c>
      <c r="P624" s="71"/>
      <c r="Q624" s="94"/>
      <c r="R624" s="94" t="s">
        <v>292</v>
      </c>
      <c r="S624" s="94" t="s">
        <v>1718</v>
      </c>
      <c r="T624" s="78"/>
      <c r="U624" s="78"/>
      <c r="V624" s="78"/>
      <c r="W624" s="78"/>
      <c r="X624" s="78"/>
      <c r="Y624" s="78"/>
      <c r="Z624" s="78"/>
      <c r="AA624" s="78"/>
      <c r="AB624" s="78"/>
      <c r="AC624" s="96"/>
      <c r="AD624" s="92"/>
      <c r="AE624" s="92"/>
      <c r="AF624" s="32"/>
      <c r="AG624" s="32"/>
    </row>
    <row r="625" spans="2:33">
      <c r="B625" s="111"/>
      <c r="C625" s="32"/>
      <c r="D625" s="32"/>
      <c r="E625" s="32"/>
      <c r="F625" s="32"/>
      <c r="G625" s="32"/>
      <c r="H625" s="196"/>
      <c r="I625" s="32"/>
      <c r="J625" s="32"/>
      <c r="K625" s="32"/>
      <c r="L625" s="32"/>
      <c r="M625" s="190"/>
      <c r="N625" s="32"/>
      <c r="O625" s="32"/>
      <c r="P625" s="17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</row>
    <row r="626" spans="2:33">
      <c r="B626" s="111"/>
      <c r="C626" s="145" t="s">
        <v>1719</v>
      </c>
      <c r="D626" s="32"/>
      <c r="E626" s="32"/>
      <c r="F626" s="32"/>
      <c r="G626" s="32"/>
      <c r="H626" s="196"/>
      <c r="I626" s="32"/>
      <c r="J626" s="32"/>
      <c r="K626" s="32"/>
      <c r="L626" s="32"/>
      <c r="M626" s="190"/>
      <c r="N626" s="32"/>
      <c r="O626" s="32"/>
      <c r="P626" s="17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</row>
    <row r="627" spans="2:33">
      <c r="B627" s="63">
        <v>143</v>
      </c>
      <c r="C627" s="64" t="s">
        <v>1720</v>
      </c>
      <c r="D627" s="64" t="s">
        <v>1721</v>
      </c>
      <c r="E627" s="64"/>
      <c r="F627" s="66">
        <v>149</v>
      </c>
      <c r="G627" s="67" t="s">
        <v>1722</v>
      </c>
      <c r="H627" s="278"/>
      <c r="I627" s="66" t="s">
        <v>232</v>
      </c>
      <c r="J627" s="66" t="s">
        <v>1723</v>
      </c>
      <c r="K627" s="66" t="s">
        <v>232</v>
      </c>
      <c r="L627" s="66" t="s">
        <v>259</v>
      </c>
      <c r="M627" s="93">
        <v>13001.9</v>
      </c>
      <c r="N627" s="32"/>
      <c r="O627" s="94">
        <v>130019</v>
      </c>
      <c r="P627" s="71"/>
      <c r="Q627" s="66"/>
      <c r="R627" s="66" t="s">
        <v>292</v>
      </c>
      <c r="S627" s="66"/>
      <c r="T627" s="78"/>
      <c r="U627" s="78"/>
      <c r="V627" s="78"/>
      <c r="W627" s="78"/>
      <c r="X627" s="78"/>
      <c r="Y627" s="78"/>
      <c r="Z627" s="78"/>
      <c r="AA627" s="78"/>
      <c r="AB627" s="78"/>
      <c r="AC627" s="96"/>
      <c r="AD627" s="92"/>
      <c r="AE627" s="92"/>
      <c r="AF627" s="32"/>
      <c r="AG627" s="32"/>
    </row>
    <row r="628" spans="2:33">
      <c r="B628" s="111"/>
      <c r="C628" s="32"/>
      <c r="D628" s="32"/>
      <c r="E628" s="32"/>
      <c r="F628" s="32"/>
      <c r="G628" s="32"/>
      <c r="H628" s="196"/>
      <c r="I628" s="32"/>
      <c r="J628" s="32"/>
      <c r="K628" s="32"/>
      <c r="L628" s="32"/>
      <c r="M628" s="190"/>
      <c r="N628" s="32"/>
      <c r="O628" s="32"/>
      <c r="P628" s="17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</row>
    <row r="629" spans="2:33">
      <c r="B629" s="111"/>
      <c r="C629" s="145" t="s">
        <v>1724</v>
      </c>
      <c r="D629" s="32"/>
      <c r="E629" s="32"/>
      <c r="F629" s="32"/>
      <c r="G629" s="32"/>
      <c r="H629" s="196"/>
      <c r="I629" s="32"/>
      <c r="J629" s="32"/>
      <c r="K629" s="32"/>
      <c r="L629" s="32"/>
      <c r="M629" s="190"/>
      <c r="N629" s="32"/>
      <c r="O629" s="32"/>
      <c r="P629" s="17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</row>
    <row r="630" spans="2:33">
      <c r="B630" s="63">
        <v>144</v>
      </c>
      <c r="C630" s="64" t="s">
        <v>1725</v>
      </c>
      <c r="D630" s="64" t="s">
        <v>1726</v>
      </c>
      <c r="E630" s="64"/>
      <c r="F630" s="66">
        <v>391</v>
      </c>
      <c r="G630" s="67" t="s">
        <v>1727</v>
      </c>
      <c r="H630" s="278"/>
      <c r="I630" s="66" t="s">
        <v>708</v>
      </c>
      <c r="J630" s="66" t="s">
        <v>1728</v>
      </c>
      <c r="K630" s="66" t="s">
        <v>708</v>
      </c>
      <c r="L630" s="66" t="s">
        <v>380</v>
      </c>
      <c r="M630" s="93">
        <v>11479.6</v>
      </c>
      <c r="N630" s="32"/>
      <c r="O630" s="94">
        <v>114796</v>
      </c>
      <c r="P630" s="71"/>
      <c r="Q630" s="94"/>
      <c r="R630" s="94" t="s">
        <v>709</v>
      </c>
      <c r="S630" s="94" t="s">
        <v>1729</v>
      </c>
      <c r="T630" s="78"/>
      <c r="U630" s="78"/>
      <c r="V630" s="78"/>
      <c r="W630" s="78"/>
      <c r="X630" s="78"/>
      <c r="Y630" s="78"/>
      <c r="Z630" s="78">
        <v>58546</v>
      </c>
      <c r="AA630" s="79">
        <v>35762</v>
      </c>
      <c r="AB630" s="78">
        <v>733</v>
      </c>
      <c r="AC630" s="80">
        <v>35786</v>
      </c>
      <c r="AD630" s="75"/>
      <c r="AE630" s="75"/>
      <c r="AF630" s="32"/>
      <c r="AG630" s="32"/>
    </row>
    <row r="631" spans="2:33">
      <c r="B631" s="111"/>
      <c r="C631" s="241"/>
      <c r="D631" s="32"/>
      <c r="E631" s="32"/>
      <c r="F631" s="32"/>
      <c r="G631" s="32"/>
      <c r="H631" s="196"/>
      <c r="I631" s="32"/>
      <c r="J631" s="32"/>
      <c r="K631" s="32"/>
      <c r="L631" s="32"/>
      <c r="M631" s="190"/>
      <c r="N631" s="32"/>
      <c r="O631" s="32"/>
      <c r="P631" s="17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</row>
    <row r="632" spans="2:33">
      <c r="B632" s="111"/>
      <c r="C632" s="145" t="s">
        <v>1730</v>
      </c>
      <c r="D632" s="32"/>
      <c r="E632" s="32"/>
      <c r="F632" s="32"/>
      <c r="G632" s="32"/>
      <c r="H632" s="196"/>
      <c r="I632" s="32"/>
      <c r="J632" s="32"/>
      <c r="K632" s="32"/>
      <c r="L632" s="32"/>
      <c r="M632" s="190"/>
      <c r="N632" s="32"/>
      <c r="O632" s="32"/>
      <c r="P632" s="17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</row>
    <row r="633" spans="2:33">
      <c r="B633" s="63">
        <v>145</v>
      </c>
      <c r="C633" s="64" t="s">
        <v>1731</v>
      </c>
      <c r="D633" s="64" t="s">
        <v>1732</v>
      </c>
      <c r="E633" s="64"/>
      <c r="F633" s="66">
        <v>280</v>
      </c>
      <c r="G633" s="67" t="s">
        <v>1727</v>
      </c>
      <c r="H633" s="278"/>
      <c r="I633" s="66" t="s">
        <v>503</v>
      </c>
      <c r="J633" s="66" t="s">
        <v>1733</v>
      </c>
      <c r="K633" s="66" t="s">
        <v>503</v>
      </c>
      <c r="L633" s="66" t="s">
        <v>233</v>
      </c>
      <c r="M633" s="93">
        <v>10607.5</v>
      </c>
      <c r="N633" s="32"/>
      <c r="O633" s="94">
        <v>106075</v>
      </c>
      <c r="P633" s="71"/>
      <c r="Q633" s="94"/>
      <c r="R633" s="94" t="s">
        <v>504</v>
      </c>
      <c r="S633" s="94" t="s">
        <v>1734</v>
      </c>
      <c r="T633" s="78"/>
      <c r="U633" s="78"/>
      <c r="V633" s="78"/>
      <c r="W633" s="78"/>
      <c r="X633" s="78"/>
      <c r="Y633" s="78"/>
      <c r="Z633" s="78">
        <v>25168</v>
      </c>
      <c r="AA633" s="79">
        <v>36103</v>
      </c>
      <c r="AB633" s="78">
        <v>758</v>
      </c>
      <c r="AC633" s="80">
        <v>36132</v>
      </c>
      <c r="AD633" s="75"/>
      <c r="AE633" s="75"/>
      <c r="AF633" s="32"/>
      <c r="AG633" s="32"/>
    </row>
    <row r="634" spans="2:33">
      <c r="B634" s="111"/>
      <c r="C634" s="32"/>
      <c r="D634" s="32"/>
      <c r="E634" s="32"/>
      <c r="F634" s="32"/>
      <c r="G634" s="32"/>
      <c r="H634" s="196"/>
      <c r="I634" s="32"/>
      <c r="J634" s="32"/>
      <c r="K634" s="32"/>
      <c r="L634" s="32"/>
      <c r="M634" s="190"/>
      <c r="N634" s="32"/>
      <c r="O634" s="32"/>
      <c r="P634" s="17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</row>
    <row r="635" spans="2:33">
      <c r="B635" s="111"/>
      <c r="C635" s="145" t="s">
        <v>1735</v>
      </c>
      <c r="D635" s="32"/>
      <c r="E635" s="32"/>
      <c r="F635" s="32"/>
      <c r="G635" s="32"/>
      <c r="H635" s="196"/>
      <c r="I635" s="32"/>
      <c r="J635" s="32"/>
      <c r="K635" s="32"/>
      <c r="L635" s="32"/>
      <c r="M635" s="190"/>
      <c r="N635" s="32"/>
      <c r="O635" s="32"/>
      <c r="P635" s="17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</row>
    <row r="636" spans="2:33">
      <c r="B636" s="63">
        <v>146</v>
      </c>
      <c r="C636" s="64" t="s">
        <v>1736</v>
      </c>
      <c r="D636" s="64" t="s">
        <v>400</v>
      </c>
      <c r="E636" s="64"/>
      <c r="F636" s="66">
        <v>399</v>
      </c>
      <c r="G636" s="67" t="s">
        <v>1737</v>
      </c>
      <c r="H636" s="278"/>
      <c r="I636" s="66" t="s">
        <v>244</v>
      </c>
      <c r="J636" s="66" t="s">
        <v>1738</v>
      </c>
      <c r="K636" s="66" t="s">
        <v>244</v>
      </c>
      <c r="L636" s="66" t="s">
        <v>233</v>
      </c>
      <c r="M636" s="93">
        <v>71436.600000000006</v>
      </c>
      <c r="N636" s="32"/>
      <c r="O636" s="94">
        <v>714366</v>
      </c>
      <c r="P636" s="71"/>
      <c r="Q636" s="66"/>
      <c r="R636" s="66" t="s">
        <v>513</v>
      </c>
      <c r="S636" s="66" t="s">
        <v>861</v>
      </c>
      <c r="T636" s="78"/>
      <c r="U636" s="78"/>
      <c r="V636" s="78"/>
      <c r="W636" s="78"/>
      <c r="X636" s="78"/>
      <c r="Y636" s="78"/>
      <c r="Z636" s="78"/>
      <c r="AA636" s="78"/>
      <c r="AB636" s="78"/>
      <c r="AC636" s="96"/>
      <c r="AD636" s="92"/>
      <c r="AE636" s="92"/>
      <c r="AF636" s="32"/>
      <c r="AG636" s="32"/>
    </row>
    <row r="637" spans="2:33">
      <c r="B637" s="111"/>
      <c r="C637" s="32"/>
      <c r="D637" s="32"/>
      <c r="E637" s="32"/>
      <c r="F637" s="32"/>
      <c r="G637" s="32"/>
      <c r="H637" s="196"/>
      <c r="I637" s="32"/>
      <c r="J637" s="32"/>
      <c r="K637" s="32"/>
      <c r="L637" s="32"/>
      <c r="M637" s="190"/>
      <c r="N637" s="32"/>
      <c r="O637" s="32"/>
      <c r="P637" s="17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</row>
    <row r="638" spans="2:33">
      <c r="B638" s="111"/>
      <c r="C638" s="145" t="s">
        <v>1739</v>
      </c>
      <c r="D638" s="32"/>
      <c r="E638" s="32"/>
      <c r="F638" s="32"/>
      <c r="G638" s="32"/>
      <c r="H638" s="196"/>
      <c r="I638" s="32"/>
      <c r="J638" s="32"/>
      <c r="K638" s="32"/>
      <c r="L638" s="32"/>
      <c r="M638" s="190"/>
      <c r="N638" s="32"/>
      <c r="O638" s="32"/>
      <c r="P638" s="17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</row>
    <row r="639" spans="2:33">
      <c r="B639" s="63">
        <v>147</v>
      </c>
      <c r="C639" s="64" t="s">
        <v>1740</v>
      </c>
      <c r="D639" s="64" t="s">
        <v>1741</v>
      </c>
      <c r="E639" s="64"/>
      <c r="F639" s="66">
        <v>351</v>
      </c>
      <c r="G639" s="67" t="s">
        <v>1742</v>
      </c>
      <c r="H639" s="278"/>
      <c r="I639" s="66" t="s">
        <v>296</v>
      </c>
      <c r="J639" s="66" t="s">
        <v>1743</v>
      </c>
      <c r="K639" s="66" t="s">
        <v>296</v>
      </c>
      <c r="L639" s="66" t="s">
        <v>233</v>
      </c>
      <c r="M639" s="93">
        <v>6395.4</v>
      </c>
      <c r="N639" s="32"/>
      <c r="O639" s="94">
        <v>63954</v>
      </c>
      <c r="P639" s="71"/>
      <c r="Q639" s="66"/>
      <c r="R639" s="66" t="s">
        <v>297</v>
      </c>
      <c r="S639" s="66" t="s">
        <v>598</v>
      </c>
      <c r="T639" s="78"/>
      <c r="U639" s="78"/>
      <c r="V639" s="78"/>
      <c r="W639" s="78"/>
      <c r="X639" s="78"/>
      <c r="Y639" s="78"/>
      <c r="Z639" s="78"/>
      <c r="AA639" s="78"/>
      <c r="AB639" s="78"/>
      <c r="AC639" s="96"/>
      <c r="AD639" s="92"/>
      <c r="AE639" s="92"/>
      <c r="AF639" s="32"/>
      <c r="AG639" s="32"/>
    </row>
    <row r="640" spans="2:33">
      <c r="B640" s="111"/>
      <c r="C640" s="32"/>
      <c r="D640" s="32"/>
      <c r="E640" s="32"/>
      <c r="F640" s="32"/>
      <c r="G640" s="32"/>
      <c r="H640" s="196"/>
      <c r="I640" s="32"/>
      <c r="J640" s="32"/>
      <c r="K640" s="32"/>
      <c r="L640" s="32"/>
      <c r="M640" s="190"/>
      <c r="N640" s="32"/>
      <c r="O640" s="32"/>
      <c r="P640" s="17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</row>
    <row r="641" spans="2:33">
      <c r="B641" s="111"/>
      <c r="C641" s="145" t="s">
        <v>1744</v>
      </c>
      <c r="D641" s="32"/>
      <c r="E641" s="32"/>
      <c r="F641" s="32"/>
      <c r="G641" s="32"/>
      <c r="H641" s="196"/>
      <c r="I641" s="32"/>
      <c r="J641" s="32"/>
      <c r="K641" s="32"/>
      <c r="L641" s="32"/>
      <c r="M641" s="190"/>
      <c r="N641" s="32"/>
      <c r="O641" s="32"/>
      <c r="P641" s="17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</row>
    <row r="642" spans="2:33">
      <c r="B642" s="63">
        <v>148</v>
      </c>
      <c r="C642" s="64" t="s">
        <v>1745</v>
      </c>
      <c r="D642" s="64" t="s">
        <v>1746</v>
      </c>
      <c r="E642" s="64"/>
      <c r="F642" s="66">
        <v>312</v>
      </c>
      <c r="G642" s="67" t="s">
        <v>1747</v>
      </c>
      <c r="H642" s="278"/>
      <c r="I642" s="66" t="s">
        <v>345</v>
      </c>
      <c r="J642" s="66" t="s">
        <v>1748</v>
      </c>
      <c r="K642" s="66" t="s">
        <v>345</v>
      </c>
      <c r="L642" s="66" t="s">
        <v>259</v>
      </c>
      <c r="M642" s="93">
        <v>16665.400000000001</v>
      </c>
      <c r="N642" s="32"/>
      <c r="O642" s="94">
        <v>166654</v>
      </c>
      <c r="P642" s="71"/>
      <c r="Q642" s="66"/>
      <c r="R642" s="66" t="s">
        <v>346</v>
      </c>
      <c r="S642" s="66" t="s">
        <v>1749</v>
      </c>
      <c r="T642" s="78"/>
      <c r="U642" s="78"/>
      <c r="V642" s="78"/>
      <c r="W642" s="78"/>
      <c r="X642" s="78"/>
      <c r="Y642" s="78"/>
      <c r="Z642" s="78"/>
      <c r="AA642" s="78"/>
      <c r="AB642" s="78"/>
      <c r="AC642" s="96"/>
      <c r="AD642" s="92"/>
      <c r="AE642" s="92"/>
      <c r="AF642" s="32"/>
      <c r="AG642" s="32"/>
    </row>
    <row r="643" spans="2:33">
      <c r="B643" s="111"/>
      <c r="C643" s="32"/>
      <c r="D643" s="32"/>
      <c r="E643" s="32"/>
      <c r="F643" s="32"/>
      <c r="G643" s="32"/>
      <c r="H643" s="196"/>
      <c r="I643" s="32"/>
      <c r="J643" s="32"/>
      <c r="K643" s="32"/>
      <c r="L643" s="32"/>
      <c r="M643" s="190"/>
      <c r="N643" s="32"/>
      <c r="O643" s="32"/>
      <c r="P643" s="17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</row>
    <row r="644" spans="2:33">
      <c r="B644" s="111"/>
      <c r="C644" s="145" t="s">
        <v>1750</v>
      </c>
      <c r="D644" s="32"/>
      <c r="E644" s="32"/>
      <c r="F644" s="32"/>
      <c r="G644" s="32"/>
      <c r="H644" s="196"/>
      <c r="I644" s="32"/>
      <c r="J644" s="32"/>
      <c r="K644" s="32"/>
      <c r="L644" s="32"/>
      <c r="M644" s="190"/>
      <c r="N644" s="32"/>
      <c r="O644" s="32"/>
      <c r="P644" s="17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</row>
    <row r="645" spans="2:33">
      <c r="B645" s="63">
        <v>149</v>
      </c>
      <c r="C645" s="64" t="s">
        <v>1751</v>
      </c>
      <c r="D645" s="64" t="s">
        <v>1752</v>
      </c>
      <c r="E645" s="64"/>
      <c r="F645" s="66">
        <v>267</v>
      </c>
      <c r="G645" s="67" t="s">
        <v>1753</v>
      </c>
      <c r="H645" s="278"/>
      <c r="I645" s="66" t="s">
        <v>345</v>
      </c>
      <c r="J645" s="66" t="s">
        <v>1754</v>
      </c>
      <c r="K645" s="66" t="s">
        <v>345</v>
      </c>
      <c r="L645" s="66" t="s">
        <v>245</v>
      </c>
      <c r="M645" s="93">
        <v>5104</v>
      </c>
      <c r="N645" s="32"/>
      <c r="O645" s="94">
        <v>51040</v>
      </c>
      <c r="P645" s="71"/>
      <c r="Q645" s="66"/>
      <c r="R645" s="66" t="s">
        <v>346</v>
      </c>
      <c r="S645" s="66" t="s">
        <v>1755</v>
      </c>
      <c r="T645" s="78"/>
      <c r="U645" s="78"/>
      <c r="V645" s="78"/>
      <c r="W645" s="78"/>
      <c r="X645" s="78"/>
      <c r="Y645" s="78"/>
      <c r="Z645" s="78"/>
      <c r="AA645" s="78"/>
      <c r="AB645" s="78"/>
      <c r="AC645" s="96"/>
      <c r="AD645" s="92"/>
      <c r="AE645" s="92"/>
      <c r="AF645" s="32"/>
      <c r="AG645" s="32"/>
    </row>
    <row r="646" spans="2:33">
      <c r="B646" s="111"/>
      <c r="C646" s="32"/>
      <c r="D646" s="32"/>
      <c r="E646" s="32"/>
      <c r="F646" s="32"/>
      <c r="G646" s="32"/>
      <c r="H646" s="196"/>
      <c r="I646" s="32"/>
      <c r="J646" s="32"/>
      <c r="K646" s="32"/>
      <c r="L646" s="32"/>
      <c r="M646" s="190"/>
      <c r="N646" s="32"/>
      <c r="O646" s="32"/>
      <c r="P646" s="17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</row>
    <row r="647" spans="2:33">
      <c r="B647" s="111"/>
      <c r="C647" s="145" t="s">
        <v>1756</v>
      </c>
      <c r="D647" s="32"/>
      <c r="E647" s="32"/>
      <c r="F647" s="32"/>
      <c r="G647" s="32"/>
      <c r="H647" s="196"/>
      <c r="I647" s="32"/>
      <c r="J647" s="32"/>
      <c r="K647" s="32"/>
      <c r="L647" s="32"/>
      <c r="M647" s="190"/>
      <c r="N647" s="32"/>
      <c r="O647" s="32"/>
      <c r="P647" s="17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</row>
    <row r="648" spans="2:33">
      <c r="B648" s="63">
        <v>150</v>
      </c>
      <c r="C648" s="64" t="s">
        <v>1757</v>
      </c>
      <c r="D648" s="64" t="s">
        <v>1758</v>
      </c>
      <c r="E648" s="64"/>
      <c r="F648" s="63">
        <v>202</v>
      </c>
      <c r="G648" s="67" t="s">
        <v>1759</v>
      </c>
      <c r="H648" s="278"/>
      <c r="I648" s="63" t="s">
        <v>232</v>
      </c>
      <c r="J648" s="63" t="s">
        <v>1760</v>
      </c>
      <c r="K648" s="63" t="s">
        <v>232</v>
      </c>
      <c r="L648" s="63" t="s">
        <v>380</v>
      </c>
      <c r="M648" s="226">
        <v>14692.1</v>
      </c>
      <c r="N648" s="32"/>
      <c r="O648" s="103">
        <v>146921</v>
      </c>
      <c r="P648" s="71"/>
      <c r="Q648" s="94"/>
      <c r="R648" s="94" t="s">
        <v>323</v>
      </c>
      <c r="S648" s="94" t="s">
        <v>492</v>
      </c>
      <c r="T648" s="78"/>
      <c r="U648" s="78"/>
      <c r="V648" s="78"/>
      <c r="W648" s="78"/>
      <c r="X648" s="78"/>
      <c r="Y648" s="78"/>
      <c r="Z648" s="78">
        <v>29384</v>
      </c>
      <c r="AA648" s="79">
        <v>36035</v>
      </c>
      <c r="AB648" s="78">
        <v>592</v>
      </c>
      <c r="AC648" s="80">
        <v>36313</v>
      </c>
      <c r="AD648" s="75"/>
      <c r="AE648" s="75"/>
      <c r="AF648" s="32"/>
      <c r="AG648" s="32"/>
    </row>
    <row r="649" spans="2:33">
      <c r="B649" s="111"/>
      <c r="C649" s="32"/>
      <c r="D649" s="32"/>
      <c r="E649" s="32"/>
      <c r="F649" s="32"/>
      <c r="G649" s="32"/>
      <c r="H649" s="196"/>
      <c r="I649" s="32"/>
      <c r="J649" s="32"/>
      <c r="K649" s="32"/>
      <c r="L649" s="32"/>
      <c r="M649" s="190"/>
      <c r="N649" s="32"/>
      <c r="O649" s="32"/>
      <c r="P649" s="17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</row>
    <row r="650" spans="2:33">
      <c r="B650" s="111"/>
      <c r="C650" s="145" t="s">
        <v>1761</v>
      </c>
      <c r="D650" s="32"/>
      <c r="E650" s="32"/>
      <c r="F650" s="32"/>
      <c r="G650" s="32"/>
      <c r="H650" s="196"/>
      <c r="I650" s="32"/>
      <c r="J650" s="32"/>
      <c r="K650" s="32"/>
      <c r="L650" s="32"/>
      <c r="M650" s="190"/>
      <c r="N650" s="32"/>
      <c r="O650" s="32"/>
      <c r="P650" s="17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</row>
    <row r="651" spans="2:33">
      <c r="B651" s="63">
        <v>151</v>
      </c>
      <c r="C651" s="64" t="s">
        <v>1762</v>
      </c>
      <c r="D651" s="64" t="s">
        <v>1763</v>
      </c>
      <c r="E651" s="64"/>
      <c r="F651" s="66">
        <v>228</v>
      </c>
      <c r="G651" s="67" t="s">
        <v>1764</v>
      </c>
      <c r="H651" s="278"/>
      <c r="I651" s="66" t="s">
        <v>739</v>
      </c>
      <c r="J651" s="66" t="s">
        <v>1765</v>
      </c>
      <c r="K651" s="66" t="s">
        <v>739</v>
      </c>
      <c r="L651" s="66" t="s">
        <v>233</v>
      </c>
      <c r="M651" s="93">
        <v>8247.6</v>
      </c>
      <c r="N651" s="32"/>
      <c r="O651" s="94">
        <v>82476</v>
      </c>
      <c r="P651" s="71"/>
      <c r="Q651" s="66"/>
      <c r="R651" s="66" t="s">
        <v>741</v>
      </c>
      <c r="S651" s="66" t="s">
        <v>1766</v>
      </c>
      <c r="T651" s="78"/>
      <c r="U651" s="78"/>
      <c r="V651" s="78"/>
      <c r="W651" s="78"/>
      <c r="X651" s="78"/>
      <c r="Y651" s="78"/>
      <c r="Z651" s="78"/>
      <c r="AA651" s="78"/>
      <c r="AB651" s="78"/>
      <c r="AC651" s="96"/>
      <c r="AD651" s="92"/>
      <c r="AE651" s="92"/>
      <c r="AF651" s="32"/>
      <c r="AG651" s="32"/>
    </row>
    <row r="652" spans="2:33">
      <c r="B652" s="111"/>
      <c r="C652" s="32"/>
      <c r="D652" s="32"/>
      <c r="E652" s="32"/>
      <c r="F652" s="32"/>
      <c r="G652" s="32"/>
      <c r="H652" s="196"/>
      <c r="I652" s="32"/>
      <c r="J652" s="32"/>
      <c r="K652" s="32"/>
      <c r="L652" s="32"/>
      <c r="M652" s="190"/>
      <c r="N652" s="32"/>
      <c r="O652" s="32"/>
      <c r="P652" s="17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</row>
    <row r="653" spans="2:33">
      <c r="B653" s="111"/>
      <c r="C653" s="145" t="s">
        <v>1767</v>
      </c>
      <c r="D653" s="32"/>
      <c r="E653" s="32"/>
      <c r="F653" s="32"/>
      <c r="G653" s="32"/>
      <c r="H653" s="196"/>
      <c r="I653" s="32"/>
      <c r="J653" s="32"/>
      <c r="K653" s="32"/>
      <c r="L653" s="32"/>
      <c r="M653" s="190"/>
      <c r="N653" s="32"/>
      <c r="O653" s="32"/>
      <c r="P653" s="17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</row>
    <row r="654" spans="2:33">
      <c r="B654" s="63">
        <v>152</v>
      </c>
      <c r="C654" s="64" t="s">
        <v>1768</v>
      </c>
      <c r="D654" s="64" t="s">
        <v>1769</v>
      </c>
      <c r="E654" s="64"/>
      <c r="F654" s="66">
        <v>104</v>
      </c>
      <c r="G654" s="67" t="s">
        <v>1770</v>
      </c>
      <c r="H654" s="278"/>
      <c r="I654" s="66" t="s">
        <v>232</v>
      </c>
      <c r="J654" s="66" t="s">
        <v>1771</v>
      </c>
      <c r="K654" s="66" t="s">
        <v>232</v>
      </c>
      <c r="L654" s="66" t="s">
        <v>233</v>
      </c>
      <c r="M654" s="93">
        <v>18074</v>
      </c>
      <c r="N654" s="32"/>
      <c r="O654" s="94">
        <v>180740</v>
      </c>
      <c r="P654" s="71"/>
      <c r="Q654" s="66"/>
      <c r="R654" s="66" t="s">
        <v>292</v>
      </c>
      <c r="S654" s="66" t="s">
        <v>1548</v>
      </c>
      <c r="T654" s="78"/>
      <c r="U654" s="78"/>
      <c r="V654" s="78"/>
      <c r="W654" s="78"/>
      <c r="X654" s="78"/>
      <c r="Y654" s="78"/>
      <c r="Z654" s="78"/>
      <c r="AA654" s="78"/>
      <c r="AB654" s="78"/>
      <c r="AC654" s="96"/>
      <c r="AD654" s="92"/>
      <c r="AE654" s="92"/>
      <c r="AF654" s="32"/>
      <c r="AG654" s="32"/>
    </row>
    <row r="655" spans="2:33">
      <c r="B655" s="111"/>
      <c r="C655" s="32"/>
      <c r="D655" s="32"/>
      <c r="E655" s="32"/>
      <c r="F655" s="32"/>
      <c r="G655" s="32"/>
      <c r="H655" s="196"/>
      <c r="I655" s="32"/>
      <c r="J655" s="32"/>
      <c r="K655" s="32"/>
      <c r="L655" s="32"/>
      <c r="M655" s="190"/>
      <c r="N655" s="32"/>
      <c r="O655" s="32"/>
      <c r="P655" s="17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</row>
    <row r="656" spans="2:33">
      <c r="B656" s="111"/>
      <c r="C656" s="145" t="s">
        <v>1772</v>
      </c>
      <c r="D656" s="32"/>
      <c r="E656" s="32" t="s">
        <v>1773</v>
      </c>
      <c r="F656" s="32"/>
      <c r="G656" s="32"/>
      <c r="H656" s="196"/>
      <c r="I656" s="32"/>
      <c r="J656" s="32"/>
      <c r="K656" s="32"/>
      <c r="L656" s="32"/>
      <c r="M656" s="190"/>
      <c r="N656" s="32"/>
      <c r="O656" s="32"/>
      <c r="P656" s="17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</row>
    <row r="657" spans="2:33">
      <c r="B657" s="63">
        <v>153</v>
      </c>
      <c r="C657" s="64" t="s">
        <v>1774</v>
      </c>
      <c r="D657" s="64" t="s">
        <v>1775</v>
      </c>
      <c r="E657" s="64"/>
      <c r="F657" s="66">
        <v>282</v>
      </c>
      <c r="G657" s="67" t="s">
        <v>1776</v>
      </c>
      <c r="H657" s="278"/>
      <c r="I657" s="66" t="s">
        <v>296</v>
      </c>
      <c r="J657" s="66" t="s">
        <v>1777</v>
      </c>
      <c r="K657" s="66" t="s">
        <v>296</v>
      </c>
      <c r="L657" s="66" t="s">
        <v>233</v>
      </c>
      <c r="M657" s="93">
        <v>8428.7000000000007</v>
      </c>
      <c r="N657" s="32"/>
      <c r="O657" s="94">
        <v>84287</v>
      </c>
      <c r="P657" s="71"/>
      <c r="Q657" s="66"/>
      <c r="R657" s="66" t="s">
        <v>292</v>
      </c>
      <c r="S657" s="66" t="s">
        <v>1182</v>
      </c>
      <c r="T657" s="78"/>
      <c r="U657" s="78"/>
      <c r="V657" s="78"/>
      <c r="W657" s="78"/>
      <c r="X657" s="78"/>
      <c r="Y657" s="78"/>
      <c r="Z657" s="78"/>
      <c r="AA657" s="78"/>
      <c r="AB657" s="78"/>
      <c r="AC657" s="96"/>
      <c r="AD657" s="92"/>
      <c r="AE657" s="92"/>
      <c r="AF657" s="32"/>
      <c r="AG657" s="32"/>
    </row>
    <row r="658" spans="2:33">
      <c r="B658" s="111"/>
      <c r="C658" s="32"/>
      <c r="D658" s="32"/>
      <c r="E658" s="32"/>
      <c r="F658" s="32"/>
      <c r="G658" s="32"/>
      <c r="H658" s="196"/>
      <c r="I658" s="32"/>
      <c r="J658" s="32"/>
      <c r="K658" s="32"/>
      <c r="L658" s="32"/>
      <c r="M658" s="190"/>
      <c r="N658" s="32"/>
      <c r="O658" s="32"/>
      <c r="P658" s="17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</row>
    <row r="659" spans="2:33">
      <c r="B659" s="111"/>
      <c r="C659" s="145" t="s">
        <v>1778</v>
      </c>
      <c r="D659" s="32"/>
      <c r="E659" s="32"/>
      <c r="F659" s="32"/>
      <c r="G659" s="32"/>
      <c r="H659" s="196"/>
      <c r="I659" s="32"/>
      <c r="J659" s="32"/>
      <c r="K659" s="32"/>
      <c r="L659" s="32"/>
      <c r="M659" s="190"/>
      <c r="N659" s="32"/>
      <c r="O659" s="32"/>
      <c r="P659" s="17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</row>
    <row r="660" spans="2:33">
      <c r="B660" s="63">
        <v>154</v>
      </c>
      <c r="C660" s="64" t="s">
        <v>1779</v>
      </c>
      <c r="D660" s="64" t="s">
        <v>1780</v>
      </c>
      <c r="E660" s="64"/>
      <c r="F660" s="66">
        <v>285</v>
      </c>
      <c r="G660" s="67" t="s">
        <v>1776</v>
      </c>
      <c r="H660" s="278"/>
      <c r="I660" s="66" t="s">
        <v>296</v>
      </c>
      <c r="J660" s="66" t="s">
        <v>1781</v>
      </c>
      <c r="K660" s="66" t="s">
        <v>296</v>
      </c>
      <c r="L660" s="66" t="s">
        <v>259</v>
      </c>
      <c r="M660" s="93">
        <v>11618.9</v>
      </c>
      <c r="N660" s="32"/>
      <c r="O660" s="94">
        <v>116189</v>
      </c>
      <c r="P660" s="71"/>
      <c r="Q660" s="66"/>
      <c r="R660" s="66" t="s">
        <v>297</v>
      </c>
      <c r="S660" s="66" t="s">
        <v>1782</v>
      </c>
      <c r="T660" s="78"/>
      <c r="U660" s="78"/>
      <c r="V660" s="78"/>
      <c r="W660" s="78"/>
      <c r="X660" s="78"/>
      <c r="Y660" s="78"/>
      <c r="Z660" s="78"/>
      <c r="AA660" s="78"/>
      <c r="AB660" s="78"/>
      <c r="AC660" s="96"/>
      <c r="AD660" s="92"/>
      <c r="AE660" s="92" t="s">
        <v>1783</v>
      </c>
      <c r="AF660" s="32"/>
      <c r="AG660" s="32"/>
    </row>
    <row r="661" spans="2:33">
      <c r="B661" s="111"/>
      <c r="C661" s="32"/>
      <c r="D661" s="32"/>
      <c r="E661" s="32"/>
      <c r="F661" s="32"/>
      <c r="G661" s="32"/>
      <c r="H661" s="196"/>
      <c r="I661" s="32"/>
      <c r="J661" s="32"/>
      <c r="K661" s="32"/>
      <c r="L661" s="32"/>
      <c r="M661" s="190"/>
      <c r="N661" s="32"/>
      <c r="O661" s="32"/>
      <c r="P661" s="17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</row>
    <row r="662" spans="2:33">
      <c r="B662" s="111"/>
      <c r="C662" s="145" t="s">
        <v>1784</v>
      </c>
      <c r="D662" s="32"/>
      <c r="E662" s="32"/>
      <c r="F662" s="32"/>
      <c r="G662" s="32"/>
      <c r="H662" s="196"/>
      <c r="I662" s="32"/>
      <c r="J662" s="32"/>
      <c r="K662" s="32"/>
      <c r="L662" s="32"/>
      <c r="M662" s="190"/>
      <c r="N662" s="32"/>
      <c r="O662" s="32"/>
      <c r="P662" s="17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</row>
    <row r="663" spans="2:33">
      <c r="B663" s="63">
        <v>155</v>
      </c>
      <c r="C663" s="64" t="s">
        <v>1785</v>
      </c>
      <c r="D663" s="64" t="s">
        <v>1786</v>
      </c>
      <c r="E663" s="64"/>
      <c r="F663" s="66">
        <v>245</v>
      </c>
      <c r="G663" s="67" t="s">
        <v>1776</v>
      </c>
      <c r="H663" s="278"/>
      <c r="I663" s="66" t="s">
        <v>296</v>
      </c>
      <c r="J663" s="66" t="s">
        <v>1787</v>
      </c>
      <c r="K663" s="66" t="s">
        <v>296</v>
      </c>
      <c r="L663" s="66" t="s">
        <v>245</v>
      </c>
      <c r="M663" s="93">
        <v>11047.2</v>
      </c>
      <c r="N663" s="32"/>
      <c r="O663" s="94">
        <v>110472</v>
      </c>
      <c r="P663" s="71"/>
      <c r="Q663" s="66"/>
      <c r="R663" s="66" t="s">
        <v>297</v>
      </c>
      <c r="S663" s="66" t="s">
        <v>1788</v>
      </c>
      <c r="T663" s="78">
        <v>15675.9</v>
      </c>
      <c r="U663" s="78"/>
      <c r="V663" s="78"/>
      <c r="W663" s="78"/>
      <c r="X663" s="78"/>
      <c r="Y663" s="78"/>
      <c r="Z663" s="78"/>
      <c r="AA663" s="78"/>
      <c r="AB663" s="78"/>
      <c r="AC663" s="96"/>
      <c r="AD663" s="92"/>
      <c r="AE663" s="92"/>
      <c r="AF663" s="32"/>
      <c r="AG663" s="32"/>
    </row>
    <row r="664" spans="2:33">
      <c r="B664" s="111"/>
      <c r="C664" s="32"/>
      <c r="D664" s="32"/>
      <c r="E664" s="32"/>
      <c r="F664" s="32"/>
      <c r="G664" s="32"/>
      <c r="H664" s="196"/>
      <c r="I664" s="32"/>
      <c r="J664" s="32"/>
      <c r="K664" s="32"/>
      <c r="L664" s="32"/>
      <c r="M664" s="190"/>
      <c r="N664" s="32"/>
      <c r="O664" s="32"/>
      <c r="P664" s="17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</row>
    <row r="665" spans="2:33">
      <c r="B665" s="111"/>
      <c r="C665" s="145" t="s">
        <v>1789</v>
      </c>
      <c r="D665" s="32"/>
      <c r="E665" s="32"/>
      <c r="F665" s="32"/>
      <c r="G665" s="32"/>
      <c r="H665" s="196"/>
      <c r="I665" s="32"/>
      <c r="J665" s="32"/>
      <c r="K665" s="32"/>
      <c r="L665" s="32"/>
      <c r="M665" s="190"/>
      <c r="N665" s="32"/>
      <c r="O665" s="32"/>
      <c r="P665" s="17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</row>
    <row r="666" spans="2:33">
      <c r="B666" s="63">
        <v>156</v>
      </c>
      <c r="C666" s="64" t="s">
        <v>1790</v>
      </c>
      <c r="D666" s="64" t="s">
        <v>1342</v>
      </c>
      <c r="E666" s="64"/>
      <c r="F666" s="66">
        <v>164</v>
      </c>
      <c r="G666" s="67" t="s">
        <v>1776</v>
      </c>
      <c r="H666" s="278"/>
      <c r="I666" s="66" t="s">
        <v>296</v>
      </c>
      <c r="J666" s="66" t="s">
        <v>1791</v>
      </c>
      <c r="K666" s="66" t="s">
        <v>296</v>
      </c>
      <c r="L666" s="66" t="s">
        <v>380</v>
      </c>
      <c r="M666" s="93">
        <v>56045.1</v>
      </c>
      <c r="N666" s="32"/>
      <c r="O666" s="94">
        <v>768493</v>
      </c>
      <c r="P666" s="71"/>
      <c r="Q666" s="66"/>
      <c r="R666" s="66" t="s">
        <v>297</v>
      </c>
      <c r="S666" s="66"/>
      <c r="T666" s="78"/>
      <c r="U666" s="78"/>
      <c r="V666" s="78"/>
      <c r="W666" s="78"/>
      <c r="X666" s="78"/>
      <c r="Y666" s="78"/>
      <c r="Z666" s="78"/>
      <c r="AA666" s="78"/>
      <c r="AB666" s="78"/>
      <c r="AC666" s="96"/>
      <c r="AD666" s="92"/>
      <c r="AE666" s="92"/>
      <c r="AF666" s="32"/>
      <c r="AG666" s="32"/>
    </row>
    <row r="667" spans="2:33">
      <c r="B667" s="111"/>
      <c r="C667" s="32"/>
      <c r="D667" s="32"/>
      <c r="E667" s="32"/>
      <c r="F667" s="32"/>
      <c r="G667" s="32"/>
      <c r="H667" s="196"/>
      <c r="I667" s="32"/>
      <c r="J667" s="32"/>
      <c r="K667" s="32"/>
      <c r="L667" s="32"/>
      <c r="M667" s="190"/>
      <c r="N667" s="32"/>
      <c r="O667" s="32"/>
      <c r="P667" s="17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</row>
    <row r="668" spans="2:33">
      <c r="B668" s="111"/>
      <c r="C668" s="145" t="s">
        <v>1792</v>
      </c>
      <c r="D668" s="32"/>
      <c r="E668" s="32"/>
      <c r="F668" s="32"/>
      <c r="G668" s="32"/>
      <c r="H668" s="196"/>
      <c r="I668" s="32"/>
      <c r="J668" s="32"/>
      <c r="K668" s="32"/>
      <c r="L668" s="32"/>
      <c r="M668" s="190"/>
      <c r="N668" s="32"/>
      <c r="O668" s="32"/>
      <c r="P668" s="17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</row>
    <row r="669" spans="2:33">
      <c r="B669" s="63">
        <v>157</v>
      </c>
      <c r="C669" s="64" t="s">
        <v>1793</v>
      </c>
      <c r="D669" s="64" t="s">
        <v>1794</v>
      </c>
      <c r="E669" s="64"/>
      <c r="F669" s="66">
        <v>171</v>
      </c>
      <c r="G669" s="67" t="s">
        <v>1776</v>
      </c>
      <c r="H669" s="278"/>
      <c r="I669" s="66" t="s">
        <v>296</v>
      </c>
      <c r="J669" s="66" t="s">
        <v>1795</v>
      </c>
      <c r="K669" s="66" t="s">
        <v>296</v>
      </c>
      <c r="L669" s="66" t="s">
        <v>245</v>
      </c>
      <c r="M669" s="93">
        <v>7156</v>
      </c>
      <c r="N669" s="32"/>
      <c r="O669" s="94">
        <v>71560</v>
      </c>
      <c r="P669" s="71"/>
      <c r="Q669" s="94"/>
      <c r="R669" s="94" t="s">
        <v>297</v>
      </c>
      <c r="S669" s="94"/>
      <c r="T669" s="78"/>
      <c r="U669" s="78"/>
      <c r="V669" s="78"/>
      <c r="W669" s="78"/>
      <c r="X669" s="78"/>
      <c r="Y669" s="78"/>
      <c r="Z669" s="78">
        <v>36495</v>
      </c>
      <c r="AA669" s="79">
        <v>35748</v>
      </c>
      <c r="AB669" s="78">
        <v>677</v>
      </c>
      <c r="AC669" s="80">
        <v>35818</v>
      </c>
      <c r="AD669" s="75"/>
      <c r="AE669" s="75"/>
      <c r="AF669" s="32"/>
      <c r="AG669" s="32"/>
    </row>
    <row r="670" spans="2:33">
      <c r="B670" s="111"/>
      <c r="C670" s="32"/>
      <c r="D670" s="32"/>
      <c r="E670" s="32"/>
      <c r="F670" s="32"/>
      <c r="G670" s="32"/>
      <c r="H670" s="196"/>
      <c r="I670" s="32"/>
      <c r="J670" s="32"/>
      <c r="K670" s="32"/>
      <c r="L670" s="32"/>
      <c r="M670" s="190"/>
      <c r="N670" s="32"/>
      <c r="O670" s="32"/>
      <c r="P670" s="17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</row>
    <row r="671" spans="2:33">
      <c r="B671" s="111"/>
      <c r="C671" s="145" t="s">
        <v>1796</v>
      </c>
      <c r="D671" s="32"/>
      <c r="E671" s="32"/>
      <c r="F671" s="32"/>
      <c r="G671" s="32"/>
      <c r="H671" s="196"/>
      <c r="I671" s="32"/>
      <c r="J671" s="32"/>
      <c r="K671" s="32"/>
      <c r="L671" s="32"/>
      <c r="M671" s="190"/>
      <c r="N671" s="32"/>
      <c r="O671" s="32"/>
      <c r="P671" s="17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</row>
    <row r="672" spans="2:33">
      <c r="B672" s="63">
        <v>158</v>
      </c>
      <c r="C672" s="64" t="s">
        <v>1797</v>
      </c>
      <c r="D672" s="64" t="s">
        <v>1798</v>
      </c>
      <c r="E672" s="64"/>
      <c r="F672" s="66">
        <v>336</v>
      </c>
      <c r="G672" s="67" t="s">
        <v>1776</v>
      </c>
      <c r="H672" s="278"/>
      <c r="I672" s="66" t="s">
        <v>453</v>
      </c>
      <c r="J672" s="66" t="s">
        <v>1799</v>
      </c>
      <c r="K672" s="66" t="s">
        <v>453</v>
      </c>
      <c r="L672" s="66" t="s">
        <v>380</v>
      </c>
      <c r="M672" s="93">
        <v>7678.8</v>
      </c>
      <c r="N672" s="32"/>
      <c r="O672" s="94">
        <v>76788</v>
      </c>
      <c r="P672" s="71"/>
      <c r="Q672" s="66"/>
      <c r="R672" s="66" t="s">
        <v>454</v>
      </c>
      <c r="S672" s="66" t="s">
        <v>1800</v>
      </c>
      <c r="T672" s="78"/>
      <c r="U672" s="78"/>
      <c r="V672" s="78"/>
      <c r="W672" s="78"/>
      <c r="X672" s="78"/>
      <c r="Y672" s="78"/>
      <c r="Z672" s="78"/>
      <c r="AA672" s="78"/>
      <c r="AB672" s="78"/>
      <c r="AC672" s="96"/>
      <c r="AD672" s="92"/>
      <c r="AE672" s="92"/>
      <c r="AF672" s="32"/>
      <c r="AG672" s="32"/>
    </row>
    <row r="673" spans="2:33">
      <c r="B673" s="111"/>
      <c r="C673" s="32"/>
      <c r="D673" s="32"/>
      <c r="E673" s="32"/>
      <c r="F673" s="32"/>
      <c r="G673" s="32"/>
      <c r="H673" s="196"/>
      <c r="I673" s="32"/>
      <c r="J673" s="32"/>
      <c r="K673" s="32"/>
      <c r="L673" s="32"/>
      <c r="M673" s="190"/>
      <c r="N673" s="32"/>
      <c r="O673" s="32"/>
      <c r="P673" s="17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</row>
    <row r="674" spans="2:33">
      <c r="B674" s="111"/>
      <c r="C674" s="145" t="s">
        <v>1801</v>
      </c>
      <c r="D674" s="32"/>
      <c r="E674" s="32"/>
      <c r="F674" s="32"/>
      <c r="G674" s="32"/>
      <c r="H674" s="196"/>
      <c r="I674" s="32"/>
      <c r="J674" s="32"/>
      <c r="K674" s="32"/>
      <c r="L674" s="32"/>
      <c r="M674" s="190"/>
      <c r="N674" s="32"/>
      <c r="O674" s="32"/>
      <c r="P674" s="17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</row>
    <row r="675" spans="2:33">
      <c r="B675" s="63">
        <v>159</v>
      </c>
      <c r="C675" s="64" t="s">
        <v>1802</v>
      </c>
      <c r="D675" s="64" t="s">
        <v>1197</v>
      </c>
      <c r="E675" s="64"/>
      <c r="F675" s="66">
        <v>356</v>
      </c>
      <c r="G675" s="67" t="s">
        <v>1776</v>
      </c>
      <c r="H675" s="278"/>
      <c r="I675" s="66" t="s">
        <v>453</v>
      </c>
      <c r="J675" s="66" t="s">
        <v>1803</v>
      </c>
      <c r="K675" s="66" t="s">
        <v>453</v>
      </c>
      <c r="L675" s="66" t="s">
        <v>380</v>
      </c>
      <c r="M675" s="93">
        <v>18813.900000000001</v>
      </c>
      <c r="N675" s="32"/>
      <c r="O675" s="94">
        <v>188139</v>
      </c>
      <c r="P675" s="71"/>
      <c r="Q675" s="66"/>
      <c r="R675" s="66" t="s">
        <v>454</v>
      </c>
      <c r="S675" s="66" t="s">
        <v>1804</v>
      </c>
      <c r="T675" s="78"/>
      <c r="U675" s="78"/>
      <c r="V675" s="78"/>
      <c r="W675" s="78"/>
      <c r="X675" s="78"/>
      <c r="Y675" s="78"/>
      <c r="Z675" s="78"/>
      <c r="AA675" s="78"/>
      <c r="AB675" s="78"/>
      <c r="AC675" s="96"/>
      <c r="AD675" s="92"/>
      <c r="AE675" s="92"/>
      <c r="AF675" s="32"/>
      <c r="AG675" s="32"/>
    </row>
    <row r="676" spans="2:33">
      <c r="B676" s="111"/>
      <c r="C676" s="32"/>
      <c r="D676" s="32"/>
      <c r="E676" s="32"/>
      <c r="F676" s="32"/>
      <c r="G676" s="32"/>
      <c r="H676" s="196"/>
      <c r="I676" s="32"/>
      <c r="J676" s="32"/>
      <c r="K676" s="32"/>
      <c r="L676" s="32"/>
      <c r="M676" s="190"/>
      <c r="N676" s="32"/>
      <c r="O676" s="32"/>
      <c r="P676" s="17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</row>
    <row r="677" spans="2:33">
      <c r="B677" s="111"/>
      <c r="C677" s="145" t="s">
        <v>1805</v>
      </c>
      <c r="D677" s="32"/>
      <c r="E677" s="32"/>
      <c r="F677" s="32"/>
      <c r="G677" s="32"/>
      <c r="H677" s="196"/>
      <c r="I677" s="32"/>
      <c r="J677" s="32"/>
      <c r="K677" s="32"/>
      <c r="L677" s="32"/>
      <c r="M677" s="190"/>
      <c r="N677" s="32"/>
      <c r="O677" s="32"/>
      <c r="P677" s="17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</row>
    <row r="678" spans="2:33">
      <c r="B678" s="63">
        <v>160</v>
      </c>
      <c r="C678" s="64" t="s">
        <v>1806</v>
      </c>
      <c r="D678" s="64" t="s">
        <v>1807</v>
      </c>
      <c r="E678" s="64"/>
      <c r="F678" s="66">
        <v>334</v>
      </c>
      <c r="G678" s="67" t="s">
        <v>1776</v>
      </c>
      <c r="H678" s="278"/>
      <c r="I678" s="66" t="s">
        <v>453</v>
      </c>
      <c r="J678" s="66" t="s">
        <v>1808</v>
      </c>
      <c r="K678" s="66" t="s">
        <v>453</v>
      </c>
      <c r="L678" s="66" t="s">
        <v>380</v>
      </c>
      <c r="M678" s="93">
        <v>8159.3</v>
      </c>
      <c r="N678" s="32"/>
      <c r="O678" s="94">
        <v>81593</v>
      </c>
      <c r="P678" s="71"/>
      <c r="Q678" s="66"/>
      <c r="R678" s="66" t="s">
        <v>454</v>
      </c>
      <c r="S678" s="66" t="s">
        <v>1800</v>
      </c>
      <c r="T678" s="78"/>
      <c r="U678" s="78"/>
      <c r="V678" s="78"/>
      <c r="W678" s="78"/>
      <c r="X678" s="78"/>
      <c r="Y678" s="78"/>
      <c r="Z678" s="78"/>
      <c r="AA678" s="78"/>
      <c r="AB678" s="78"/>
      <c r="AC678" s="96"/>
      <c r="AD678" s="92"/>
      <c r="AE678" s="92"/>
      <c r="AF678" s="32"/>
      <c r="AG678" s="32"/>
    </row>
    <row r="679" spans="2:33">
      <c r="B679" s="111"/>
      <c r="C679" s="32"/>
      <c r="D679" s="32"/>
      <c r="E679" s="32"/>
      <c r="F679" s="32"/>
      <c r="G679" s="32"/>
      <c r="H679" s="196"/>
      <c r="I679" s="32"/>
      <c r="J679" s="32"/>
      <c r="K679" s="32"/>
      <c r="L679" s="32"/>
      <c r="M679" s="190"/>
      <c r="N679" s="32"/>
      <c r="O679" s="32"/>
      <c r="P679" s="17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</row>
    <row r="680" spans="2:33">
      <c r="B680" s="111"/>
      <c r="C680" s="145" t="s">
        <v>1809</v>
      </c>
      <c r="D680" s="32"/>
      <c r="E680" s="32"/>
      <c r="F680" s="32"/>
      <c r="G680" s="32"/>
      <c r="H680" s="196"/>
      <c r="I680" s="32"/>
      <c r="J680" s="32"/>
      <c r="K680" s="32"/>
      <c r="L680" s="32"/>
      <c r="M680" s="190"/>
      <c r="N680" s="32"/>
      <c r="O680" s="32"/>
      <c r="P680" s="17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</row>
    <row r="681" spans="2:33">
      <c r="B681" s="63">
        <v>161</v>
      </c>
      <c r="C681" s="64" t="s">
        <v>1810</v>
      </c>
      <c r="D681" s="64" t="s">
        <v>1811</v>
      </c>
      <c r="E681" s="64"/>
      <c r="F681" s="66">
        <v>199</v>
      </c>
      <c r="G681" s="67" t="s">
        <v>1776</v>
      </c>
      <c r="H681" s="278"/>
      <c r="I681" s="66" t="s">
        <v>244</v>
      </c>
      <c r="J681" s="66" t="s">
        <v>1812</v>
      </c>
      <c r="K681" s="66" t="s">
        <v>244</v>
      </c>
      <c r="L681" s="66" t="s">
        <v>245</v>
      </c>
      <c r="M681" s="93">
        <v>18232.2</v>
      </c>
      <c r="N681" s="32"/>
      <c r="O681" s="94">
        <v>182322</v>
      </c>
      <c r="P681" s="71"/>
      <c r="Q681" s="94"/>
      <c r="R681" s="94" t="s">
        <v>513</v>
      </c>
      <c r="S681" s="94" t="s">
        <v>1813</v>
      </c>
      <c r="T681" s="78">
        <v>32400</v>
      </c>
      <c r="U681" s="78"/>
      <c r="V681" s="78"/>
      <c r="W681" s="78"/>
      <c r="X681" s="78"/>
      <c r="Y681" s="78"/>
      <c r="Z681" s="78">
        <v>92984</v>
      </c>
      <c r="AA681" s="79">
        <v>35776</v>
      </c>
      <c r="AB681" s="78">
        <v>800</v>
      </c>
      <c r="AC681" s="80">
        <v>35828</v>
      </c>
      <c r="AD681" s="75"/>
      <c r="AE681" s="75"/>
      <c r="AF681" s="32"/>
      <c r="AG681" s="32" t="s">
        <v>1814</v>
      </c>
    </row>
    <row r="682" spans="2:33" ht="9.75" customHeight="1">
      <c r="B682" s="111"/>
      <c r="C682" s="32"/>
      <c r="D682" s="32"/>
      <c r="E682" s="32"/>
      <c r="F682" s="32"/>
      <c r="G682" s="32"/>
      <c r="H682" s="196"/>
      <c r="I682" s="32"/>
      <c r="J682" s="32"/>
      <c r="K682" s="32"/>
      <c r="L682" s="32"/>
      <c r="M682" s="190"/>
      <c r="N682" s="32"/>
      <c r="O682" s="32"/>
      <c r="P682" s="17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</row>
    <row r="683" spans="2:33">
      <c r="B683" s="111"/>
      <c r="C683" s="145" t="s">
        <v>1815</v>
      </c>
      <c r="D683" s="32"/>
      <c r="E683" s="32"/>
      <c r="F683" s="32"/>
      <c r="G683" s="32"/>
      <c r="H683" s="196"/>
      <c r="I683" s="32"/>
      <c r="J683" s="32"/>
      <c r="K683" s="32"/>
      <c r="L683" s="32"/>
      <c r="M683" s="190"/>
      <c r="N683" s="32"/>
      <c r="O683" s="32"/>
      <c r="P683" s="17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</row>
    <row r="684" spans="2:33">
      <c r="B684" s="63">
        <v>162</v>
      </c>
      <c r="C684" s="64" t="s">
        <v>1816</v>
      </c>
      <c r="D684" s="64" t="s">
        <v>1817</v>
      </c>
      <c r="E684" s="64"/>
      <c r="F684" s="63">
        <v>116</v>
      </c>
      <c r="G684" s="67" t="s">
        <v>1818</v>
      </c>
      <c r="H684" s="278"/>
      <c r="I684" s="63" t="s">
        <v>422</v>
      </c>
      <c r="J684" s="63" t="s">
        <v>1819</v>
      </c>
      <c r="K684" s="63" t="s">
        <v>422</v>
      </c>
      <c r="L684" s="63" t="s">
        <v>233</v>
      </c>
      <c r="M684" s="226">
        <v>5749.6</v>
      </c>
      <c r="N684" s="32"/>
      <c r="O684" s="103">
        <v>57496</v>
      </c>
      <c r="P684" s="71">
        <v>29323</v>
      </c>
      <c r="Q684" s="94"/>
      <c r="R684" s="94" t="s">
        <v>423</v>
      </c>
      <c r="S684" s="94" t="s">
        <v>1820</v>
      </c>
      <c r="T684" s="78"/>
      <c r="U684" s="78"/>
      <c r="V684" s="78"/>
      <c r="W684" s="78"/>
      <c r="X684" s="78"/>
      <c r="Y684" s="78"/>
      <c r="Z684" s="78"/>
      <c r="AA684" s="78"/>
      <c r="AB684" s="95"/>
      <c r="AC684" s="96"/>
      <c r="AD684" s="97"/>
      <c r="AE684" s="92"/>
      <c r="AF684" s="32"/>
      <c r="AG684" s="32"/>
    </row>
    <row r="685" spans="2:33">
      <c r="B685" s="111"/>
      <c r="C685" s="32"/>
      <c r="D685" s="32"/>
      <c r="E685" s="32"/>
      <c r="F685" s="32"/>
      <c r="G685" s="32"/>
      <c r="H685" s="196"/>
      <c r="I685" s="32"/>
      <c r="J685" s="32"/>
      <c r="K685" s="32"/>
      <c r="L685" s="32"/>
      <c r="M685" s="190"/>
      <c r="N685" s="32"/>
      <c r="O685" s="32"/>
      <c r="P685" s="17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</row>
    <row r="686" spans="2:33">
      <c r="B686" s="111"/>
      <c r="C686" s="145" t="s">
        <v>1821</v>
      </c>
      <c r="D686" s="32"/>
      <c r="E686" s="32"/>
      <c r="F686" s="32"/>
      <c r="G686" s="32"/>
      <c r="H686" s="196"/>
      <c r="I686" s="32"/>
      <c r="J686" s="32"/>
      <c r="K686" s="32"/>
      <c r="L686" s="32"/>
      <c r="M686" s="190"/>
      <c r="N686" s="32"/>
      <c r="O686" s="32"/>
      <c r="P686" s="17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</row>
    <row r="687" spans="2:33" ht="12.75" thickBot="1">
      <c r="B687" s="63">
        <v>163</v>
      </c>
      <c r="C687" s="65" t="s">
        <v>1822</v>
      </c>
      <c r="D687" s="65" t="s">
        <v>1823</v>
      </c>
      <c r="E687" s="65"/>
      <c r="F687" s="66">
        <v>489</v>
      </c>
      <c r="G687" s="67" t="s">
        <v>1824</v>
      </c>
      <c r="H687" s="278"/>
      <c r="I687" s="66" t="s">
        <v>232</v>
      </c>
      <c r="J687" s="66" t="s">
        <v>1825</v>
      </c>
      <c r="K687" s="66" t="s">
        <v>232</v>
      </c>
      <c r="L687" s="66" t="s">
        <v>245</v>
      </c>
      <c r="M687" s="93">
        <v>169865</v>
      </c>
      <c r="N687" s="32"/>
      <c r="O687" s="131">
        <v>801250</v>
      </c>
      <c r="P687" s="71"/>
      <c r="Q687" s="77"/>
      <c r="R687" s="77"/>
      <c r="S687" s="77"/>
      <c r="T687" s="78"/>
      <c r="U687" s="78"/>
      <c r="V687" s="78"/>
      <c r="W687" s="79"/>
      <c r="X687" s="78"/>
      <c r="Y687" s="78"/>
      <c r="Z687" s="78"/>
      <c r="AA687" s="79"/>
      <c r="AB687" s="78"/>
      <c r="AC687" s="80"/>
      <c r="AD687" s="75"/>
      <c r="AE687" s="75"/>
      <c r="AF687" s="85" t="s">
        <v>1826</v>
      </c>
      <c r="AG687" s="85"/>
    </row>
    <row r="688" spans="2:33">
      <c r="B688" s="111"/>
      <c r="C688" s="32"/>
      <c r="D688" s="32"/>
      <c r="E688" s="32"/>
      <c r="F688" s="32"/>
      <c r="G688" s="32"/>
      <c r="H688" s="196"/>
      <c r="I688" s="32"/>
      <c r="J688" s="32"/>
      <c r="K688" s="32"/>
      <c r="L688" s="32"/>
      <c r="M688" s="190"/>
      <c r="N688" s="32"/>
      <c r="O688" s="32"/>
      <c r="P688" s="17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</row>
    <row r="689" spans="2:33">
      <c r="B689" s="111"/>
      <c r="C689" s="145" t="s">
        <v>1827</v>
      </c>
      <c r="D689" s="32"/>
      <c r="E689" s="32"/>
      <c r="F689" s="32"/>
      <c r="G689" s="32"/>
      <c r="H689" s="196"/>
      <c r="I689" s="32"/>
      <c r="J689" s="32"/>
      <c r="K689" s="32"/>
      <c r="L689" s="32"/>
      <c r="M689" s="190"/>
      <c r="N689" s="32"/>
      <c r="O689" s="32"/>
      <c r="P689" s="17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</row>
    <row r="690" spans="2:33">
      <c r="B690" s="63">
        <v>164</v>
      </c>
      <c r="C690" s="64" t="s">
        <v>1828</v>
      </c>
      <c r="D690" s="64" t="s">
        <v>1829</v>
      </c>
      <c r="E690" s="64"/>
      <c r="F690" s="66">
        <v>111</v>
      </c>
      <c r="G690" s="67" t="s">
        <v>1830</v>
      </c>
      <c r="H690" s="278"/>
      <c r="I690" s="66" t="s">
        <v>232</v>
      </c>
      <c r="J690" s="66" t="s">
        <v>1831</v>
      </c>
      <c r="K690" s="66" t="s">
        <v>232</v>
      </c>
      <c r="L690" s="66" t="s">
        <v>350</v>
      </c>
      <c r="M690" s="93">
        <v>19200</v>
      </c>
      <c r="N690" s="32"/>
      <c r="O690" s="94">
        <v>192000</v>
      </c>
      <c r="P690" s="71"/>
      <c r="Q690" s="66"/>
      <c r="R690" s="66" t="s">
        <v>292</v>
      </c>
      <c r="S690" s="66" t="s">
        <v>1832</v>
      </c>
      <c r="T690" s="78"/>
      <c r="U690" s="78"/>
      <c r="V690" s="78"/>
      <c r="W690" s="78"/>
      <c r="X690" s="78"/>
      <c r="Y690" s="78"/>
      <c r="Z690" s="78"/>
      <c r="AA690" s="78"/>
      <c r="AB690" s="78"/>
      <c r="AC690" s="96"/>
      <c r="AD690" s="92"/>
      <c r="AE690" s="92"/>
      <c r="AF690" s="32"/>
      <c r="AG690" s="32"/>
    </row>
    <row r="691" spans="2:33">
      <c r="B691" s="111"/>
      <c r="C691" s="32"/>
      <c r="D691" s="32"/>
      <c r="E691" s="32"/>
      <c r="F691" s="32"/>
      <c r="G691" s="32"/>
      <c r="H691" s="196"/>
      <c r="I691" s="32"/>
      <c r="J691" s="32"/>
      <c r="K691" s="32"/>
      <c r="L691" s="32"/>
      <c r="M691" s="190"/>
      <c r="N691" s="32"/>
      <c r="O691" s="32"/>
      <c r="P691" s="17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</row>
    <row r="692" spans="2:33">
      <c r="B692" s="111"/>
      <c r="C692" s="145" t="s">
        <v>1833</v>
      </c>
      <c r="D692" s="32"/>
      <c r="E692" s="32"/>
      <c r="F692" s="32"/>
      <c r="G692" s="32"/>
      <c r="H692" s="196"/>
      <c r="I692" s="32"/>
      <c r="J692" s="32"/>
      <c r="K692" s="32"/>
      <c r="L692" s="32"/>
      <c r="M692" s="190"/>
      <c r="N692" s="32"/>
      <c r="O692" s="32"/>
      <c r="P692" s="17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</row>
    <row r="693" spans="2:33">
      <c r="B693" s="63">
        <v>165</v>
      </c>
      <c r="C693" s="64" t="s">
        <v>1834</v>
      </c>
      <c r="D693" s="64" t="s">
        <v>1835</v>
      </c>
      <c r="E693" s="64"/>
      <c r="F693" s="66">
        <v>173</v>
      </c>
      <c r="G693" s="67" t="s">
        <v>1836</v>
      </c>
      <c r="H693" s="278"/>
      <c r="I693" s="66" t="s">
        <v>286</v>
      </c>
      <c r="J693" s="66" t="s">
        <v>1837</v>
      </c>
      <c r="K693" s="66" t="s">
        <v>286</v>
      </c>
      <c r="L693" s="66" t="s">
        <v>380</v>
      </c>
      <c r="M693" s="93">
        <v>5674.5</v>
      </c>
      <c r="N693" s="32"/>
      <c r="O693" s="94">
        <v>56745</v>
      </c>
      <c r="P693" s="71"/>
      <c r="Q693" s="66"/>
      <c r="R693" s="66" t="s">
        <v>677</v>
      </c>
      <c r="S693" s="66"/>
      <c r="T693" s="78"/>
      <c r="U693" s="78"/>
      <c r="V693" s="78"/>
      <c r="W693" s="78"/>
      <c r="X693" s="78"/>
      <c r="Y693" s="78"/>
      <c r="Z693" s="78"/>
      <c r="AA693" s="78"/>
      <c r="AB693" s="78"/>
      <c r="AC693" s="96"/>
      <c r="AD693" s="92"/>
      <c r="AE693" s="92"/>
      <c r="AF693" s="32"/>
      <c r="AG693" s="32"/>
    </row>
    <row r="694" spans="2:33">
      <c r="B694" s="111"/>
      <c r="C694" s="32"/>
      <c r="D694" s="32"/>
      <c r="E694" s="32"/>
      <c r="F694" s="32"/>
      <c r="G694" s="32"/>
      <c r="H694" s="196"/>
      <c r="I694" s="32"/>
      <c r="J694" s="32"/>
      <c r="K694" s="32"/>
      <c r="L694" s="32"/>
      <c r="M694" s="190"/>
      <c r="N694" s="32"/>
      <c r="O694" s="32"/>
      <c r="P694" s="17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</row>
    <row r="695" spans="2:33">
      <c r="B695" s="111"/>
      <c r="C695" s="145" t="s">
        <v>1838</v>
      </c>
      <c r="D695" s="32"/>
      <c r="E695" s="32"/>
      <c r="F695" s="32"/>
      <c r="G695" s="32"/>
      <c r="H695" s="196"/>
      <c r="I695" s="32"/>
      <c r="J695" s="32"/>
      <c r="K695" s="32"/>
      <c r="L695" s="32"/>
      <c r="M695" s="190"/>
      <c r="N695" s="32"/>
      <c r="O695" s="32"/>
      <c r="P695" s="17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</row>
    <row r="696" spans="2:33" ht="14.25" customHeight="1">
      <c r="B696" s="63">
        <v>166</v>
      </c>
      <c r="C696" s="64" t="s">
        <v>1839</v>
      </c>
      <c r="D696" s="64" t="s">
        <v>1840</v>
      </c>
      <c r="E696" s="64"/>
      <c r="F696" s="66">
        <v>242</v>
      </c>
      <c r="G696" s="67" t="s">
        <v>1836</v>
      </c>
      <c r="H696" s="278"/>
      <c r="I696" s="66" t="s">
        <v>769</v>
      </c>
      <c r="J696" s="66" t="s">
        <v>1841</v>
      </c>
      <c r="K696" s="66" t="s">
        <v>769</v>
      </c>
      <c r="L696" s="66" t="s">
        <v>245</v>
      </c>
      <c r="M696" s="93">
        <v>8458.9</v>
      </c>
      <c r="N696" s="32"/>
      <c r="O696" s="94">
        <v>84589</v>
      </c>
      <c r="P696" s="71"/>
      <c r="Q696" s="94" t="s">
        <v>770</v>
      </c>
      <c r="R696" s="94" t="s">
        <v>770</v>
      </c>
      <c r="S696" s="94" t="s">
        <v>533</v>
      </c>
      <c r="T696" s="78"/>
      <c r="U696" s="78"/>
      <c r="V696" s="78"/>
      <c r="W696" s="78"/>
      <c r="X696" s="78"/>
      <c r="Y696" s="78"/>
      <c r="Z696" s="78">
        <v>43140</v>
      </c>
      <c r="AA696" s="79">
        <v>35783</v>
      </c>
      <c r="AB696" s="78">
        <v>820</v>
      </c>
      <c r="AC696" s="80">
        <v>35801</v>
      </c>
      <c r="AD696" s="75"/>
      <c r="AE696" s="75"/>
      <c r="AF696" s="32"/>
      <c r="AG696" s="32"/>
    </row>
    <row r="697" spans="2:33">
      <c r="B697" s="111"/>
      <c r="C697" s="32"/>
      <c r="D697" s="32"/>
      <c r="E697" s="32"/>
      <c r="F697" s="32"/>
      <c r="G697" s="32"/>
      <c r="H697" s="196"/>
      <c r="I697" s="32"/>
      <c r="J697" s="32"/>
      <c r="K697" s="32"/>
      <c r="L697" s="32"/>
      <c r="M697" s="190"/>
      <c r="N697" s="32"/>
      <c r="O697" s="32"/>
      <c r="P697" s="17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</row>
    <row r="698" spans="2:33">
      <c r="B698" s="111"/>
      <c r="C698" s="145" t="s">
        <v>1842</v>
      </c>
      <c r="D698" s="32"/>
      <c r="E698" s="32"/>
      <c r="F698" s="32"/>
      <c r="G698" s="32"/>
      <c r="H698" s="196"/>
      <c r="I698" s="32"/>
      <c r="J698" s="32"/>
      <c r="K698" s="32"/>
      <c r="L698" s="32"/>
      <c r="M698" s="190"/>
      <c r="N698" s="32"/>
      <c r="O698" s="32"/>
      <c r="P698" s="17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</row>
    <row r="699" spans="2:33">
      <c r="B699" s="63">
        <v>167</v>
      </c>
      <c r="C699" s="64" t="s">
        <v>1843</v>
      </c>
      <c r="D699" s="64" t="s">
        <v>1844</v>
      </c>
      <c r="E699" s="64"/>
      <c r="F699" s="66">
        <v>278</v>
      </c>
      <c r="G699" s="67" t="s">
        <v>1836</v>
      </c>
      <c r="H699" s="278"/>
      <c r="I699" s="66" t="s">
        <v>769</v>
      </c>
      <c r="J699" s="66" t="s">
        <v>1845</v>
      </c>
      <c r="K699" s="66" t="s">
        <v>769</v>
      </c>
      <c r="L699" s="66" t="s">
        <v>233</v>
      </c>
      <c r="M699" s="93">
        <v>5791.2</v>
      </c>
      <c r="N699" s="32"/>
      <c r="O699" s="94">
        <v>57912</v>
      </c>
      <c r="P699" s="71"/>
      <c r="Q699" s="94"/>
      <c r="R699" s="94" t="s">
        <v>770</v>
      </c>
      <c r="S699" s="94"/>
      <c r="T699" s="78"/>
      <c r="U699" s="78"/>
      <c r="V699" s="78"/>
      <c r="W699" s="78"/>
      <c r="X699" s="78"/>
      <c r="Y699" s="78"/>
      <c r="Z699" s="78">
        <v>29535</v>
      </c>
      <c r="AA699" s="79">
        <v>35783</v>
      </c>
      <c r="AB699" s="78">
        <v>819</v>
      </c>
      <c r="AC699" s="80">
        <v>35801</v>
      </c>
      <c r="AD699" s="75"/>
      <c r="AE699" s="75"/>
      <c r="AF699" s="32"/>
      <c r="AG699" s="32"/>
    </row>
    <row r="700" spans="2:33">
      <c r="B700" s="111"/>
      <c r="C700" s="32"/>
      <c r="D700" s="32"/>
      <c r="E700" s="32"/>
      <c r="F700" s="32"/>
      <c r="G700" s="32"/>
      <c r="H700" s="196"/>
      <c r="I700" s="32"/>
      <c r="J700" s="32"/>
      <c r="K700" s="32"/>
      <c r="L700" s="32"/>
      <c r="M700" s="190"/>
      <c r="N700" s="32"/>
      <c r="O700" s="32"/>
      <c r="P700" s="17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</row>
    <row r="701" spans="2:33">
      <c r="B701" s="111"/>
      <c r="C701" s="145" t="s">
        <v>1846</v>
      </c>
      <c r="D701" s="32"/>
      <c r="E701" s="32"/>
      <c r="F701" s="32"/>
      <c r="G701" s="32"/>
      <c r="H701" s="196"/>
      <c r="I701" s="32"/>
      <c r="J701" s="32"/>
      <c r="K701" s="32"/>
      <c r="L701" s="32"/>
      <c r="M701" s="190"/>
      <c r="N701" s="32"/>
      <c r="O701" s="32"/>
      <c r="P701" s="17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</row>
    <row r="702" spans="2:33">
      <c r="B702" s="63">
        <v>168</v>
      </c>
      <c r="C702" s="64" t="s">
        <v>1847</v>
      </c>
      <c r="D702" s="64" t="s">
        <v>1848</v>
      </c>
      <c r="E702" s="64"/>
      <c r="F702" s="66">
        <v>429</v>
      </c>
      <c r="G702" s="67" t="s">
        <v>1836</v>
      </c>
      <c r="H702" s="278"/>
      <c r="I702" s="66" t="s">
        <v>769</v>
      </c>
      <c r="J702" s="66" t="s">
        <v>1849</v>
      </c>
      <c r="K702" s="66" t="s">
        <v>769</v>
      </c>
      <c r="L702" s="66" t="s">
        <v>350</v>
      </c>
      <c r="M702" s="93">
        <v>20746.599999999999</v>
      </c>
      <c r="N702" s="32"/>
      <c r="O702" s="94">
        <v>207466</v>
      </c>
      <c r="P702" s="71"/>
      <c r="Q702" s="66"/>
      <c r="R702" s="66" t="s">
        <v>770</v>
      </c>
      <c r="S702" s="66" t="s">
        <v>1850</v>
      </c>
      <c r="T702" s="78"/>
      <c r="U702" s="78"/>
      <c r="V702" s="78"/>
      <c r="W702" s="78"/>
      <c r="X702" s="78"/>
      <c r="Y702" s="78"/>
      <c r="Z702" s="78"/>
      <c r="AA702" s="78"/>
      <c r="AB702" s="78"/>
      <c r="AC702" s="96"/>
      <c r="AD702" s="92"/>
      <c r="AE702" s="92"/>
      <c r="AF702" s="32"/>
      <c r="AG702" s="32"/>
    </row>
    <row r="703" spans="2:33">
      <c r="B703" s="111"/>
      <c r="C703" s="32"/>
      <c r="D703" s="32"/>
      <c r="E703" s="32"/>
      <c r="F703" s="32"/>
      <c r="G703" s="32"/>
      <c r="H703" s="196"/>
      <c r="I703" s="32"/>
      <c r="J703" s="32"/>
      <c r="K703" s="32"/>
      <c r="L703" s="32"/>
      <c r="M703" s="190"/>
      <c r="N703" s="32"/>
      <c r="O703" s="32"/>
      <c r="P703" s="17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</row>
    <row r="704" spans="2:33">
      <c r="B704" s="111"/>
      <c r="C704" s="145" t="s">
        <v>1851</v>
      </c>
      <c r="D704" s="32"/>
      <c r="E704" s="32"/>
      <c r="F704" s="32"/>
      <c r="G704" s="32"/>
      <c r="H704" s="196"/>
      <c r="I704" s="32"/>
      <c r="J704" s="32"/>
      <c r="K704" s="32"/>
      <c r="L704" s="32"/>
      <c r="M704" s="190"/>
      <c r="N704" s="32"/>
      <c r="O704" s="32"/>
      <c r="P704" s="17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</row>
    <row r="705" spans="2:33">
      <c r="B705" s="63">
        <v>169</v>
      </c>
      <c r="C705" s="64" t="s">
        <v>1852</v>
      </c>
      <c r="D705" s="64" t="s">
        <v>1853</v>
      </c>
      <c r="E705" s="64"/>
      <c r="F705" s="66">
        <v>205</v>
      </c>
      <c r="G705" s="67" t="s">
        <v>1854</v>
      </c>
      <c r="H705" s="278"/>
      <c r="I705" s="66" t="s">
        <v>244</v>
      </c>
      <c r="J705" s="66" t="s">
        <v>1855</v>
      </c>
      <c r="K705" s="66" t="s">
        <v>244</v>
      </c>
      <c r="L705" s="66" t="s">
        <v>233</v>
      </c>
      <c r="M705" s="93">
        <v>23209</v>
      </c>
      <c r="N705" s="32"/>
      <c r="O705" s="94">
        <v>232090</v>
      </c>
      <c r="P705" s="71"/>
      <c r="Q705" s="94"/>
      <c r="R705" s="94" t="s">
        <v>513</v>
      </c>
      <c r="S705" s="94" t="s">
        <v>1856</v>
      </c>
      <c r="T705" s="78"/>
      <c r="U705" s="78"/>
      <c r="V705" s="78"/>
      <c r="W705" s="78"/>
      <c r="X705" s="78"/>
      <c r="Y705" s="78"/>
      <c r="Z705" s="78">
        <v>118366</v>
      </c>
      <c r="AA705" s="79">
        <v>36146</v>
      </c>
      <c r="AB705" s="78">
        <v>875</v>
      </c>
      <c r="AC705" s="80">
        <v>36185</v>
      </c>
      <c r="AD705" s="75"/>
      <c r="AE705" s="75"/>
      <c r="AF705" s="32"/>
      <c r="AG705" s="32"/>
    </row>
    <row r="706" spans="2:33">
      <c r="B706" s="111"/>
      <c r="C706" s="32"/>
      <c r="D706" s="32"/>
      <c r="E706" s="32"/>
      <c r="F706" s="32"/>
      <c r="G706" s="32"/>
      <c r="H706" s="196"/>
      <c r="I706" s="32"/>
      <c r="J706" s="32"/>
      <c r="K706" s="32"/>
      <c r="L706" s="32"/>
      <c r="M706" s="190"/>
      <c r="N706" s="32"/>
      <c r="O706" s="32"/>
      <c r="P706" s="17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</row>
    <row r="707" spans="2:33">
      <c r="B707" s="111"/>
      <c r="C707" s="145" t="s">
        <v>1857</v>
      </c>
      <c r="D707" s="32"/>
      <c r="E707" s="32"/>
      <c r="F707" s="32"/>
      <c r="G707" s="32"/>
      <c r="H707" s="196"/>
      <c r="I707" s="32"/>
      <c r="J707" s="32"/>
      <c r="K707" s="32"/>
      <c r="L707" s="32"/>
      <c r="M707" s="190"/>
      <c r="N707" s="32"/>
      <c r="O707" s="32"/>
      <c r="P707" s="17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</row>
    <row r="708" spans="2:33">
      <c r="B708" s="63">
        <v>170</v>
      </c>
      <c r="C708" s="65" t="s">
        <v>1858</v>
      </c>
      <c r="D708" s="65" t="s">
        <v>1859</v>
      </c>
      <c r="E708" s="65"/>
      <c r="F708" s="66">
        <v>479</v>
      </c>
      <c r="G708" s="67" t="s">
        <v>1860</v>
      </c>
      <c r="H708" s="278"/>
      <c r="I708" s="66" t="s">
        <v>232</v>
      </c>
      <c r="J708" s="66" t="s">
        <v>1861</v>
      </c>
      <c r="K708" s="66" t="s">
        <v>232</v>
      </c>
      <c r="L708" s="66" t="s">
        <v>233</v>
      </c>
      <c r="M708" s="93">
        <v>944805</v>
      </c>
      <c r="N708" s="32"/>
      <c r="O708" s="94">
        <v>188961</v>
      </c>
      <c r="P708" s="71"/>
      <c r="Q708" s="66"/>
      <c r="R708" s="66" t="s">
        <v>240</v>
      </c>
      <c r="S708" s="66" t="s">
        <v>1862</v>
      </c>
      <c r="T708" s="78"/>
      <c r="U708" s="78"/>
      <c r="V708" s="78"/>
      <c r="W708" s="79">
        <v>35943</v>
      </c>
      <c r="X708" s="78"/>
      <c r="Y708" s="78"/>
      <c r="Z708" s="78">
        <v>188961</v>
      </c>
      <c r="AA708" s="79">
        <v>35961</v>
      </c>
      <c r="AB708" s="78">
        <v>463</v>
      </c>
      <c r="AC708" s="80">
        <v>35964</v>
      </c>
      <c r="AD708" s="75"/>
      <c r="AE708" s="75"/>
      <c r="AF708" s="32" t="s">
        <v>1863</v>
      </c>
      <c r="AG708" s="32"/>
    </row>
    <row r="709" spans="2:33">
      <c r="B709" s="111"/>
      <c r="C709" s="32"/>
      <c r="D709" s="32"/>
      <c r="E709" s="32"/>
      <c r="F709" s="32"/>
      <c r="G709" s="32"/>
      <c r="H709" s="196"/>
      <c r="I709" s="32"/>
      <c r="J709" s="32"/>
      <c r="K709" s="32"/>
      <c r="L709" s="32"/>
      <c r="M709" s="190"/>
      <c r="N709" s="32"/>
      <c r="O709" s="32"/>
      <c r="P709" s="17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</row>
    <row r="710" spans="2:33">
      <c r="B710" s="111"/>
      <c r="C710" s="145" t="s">
        <v>1864</v>
      </c>
      <c r="D710" s="32"/>
      <c r="E710" s="32"/>
      <c r="F710" s="32"/>
      <c r="G710" s="32"/>
      <c r="H710" s="196"/>
      <c r="I710" s="32"/>
      <c r="J710" s="32"/>
      <c r="K710" s="32"/>
      <c r="L710" s="32"/>
      <c r="M710" s="190"/>
      <c r="N710" s="32"/>
      <c r="O710" s="32"/>
      <c r="P710" s="17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</row>
    <row r="711" spans="2:33">
      <c r="B711" s="63">
        <v>171</v>
      </c>
      <c r="C711" s="65" t="s">
        <v>1865</v>
      </c>
      <c r="D711" s="65" t="s">
        <v>1866</v>
      </c>
      <c r="E711" s="65"/>
      <c r="F711" s="66">
        <v>485</v>
      </c>
      <c r="G711" s="67" t="s">
        <v>1860</v>
      </c>
      <c r="H711" s="278"/>
      <c r="I711" s="66" t="s">
        <v>244</v>
      </c>
      <c r="J711" s="66" t="s">
        <v>1867</v>
      </c>
      <c r="K711" s="66" t="s">
        <v>244</v>
      </c>
      <c r="L711" s="66" t="s">
        <v>259</v>
      </c>
      <c r="M711" s="93">
        <v>597220</v>
      </c>
      <c r="N711" s="32"/>
      <c r="O711" s="94">
        <v>119444</v>
      </c>
      <c r="P711" s="71"/>
      <c r="Q711" s="77"/>
      <c r="R711" s="77"/>
      <c r="S711" s="77"/>
      <c r="T711" s="78"/>
      <c r="U711" s="78"/>
      <c r="V711" s="78"/>
      <c r="W711" s="79">
        <v>36132</v>
      </c>
      <c r="X711" s="78"/>
      <c r="Y711" s="78"/>
      <c r="Z711" s="78">
        <v>119444</v>
      </c>
      <c r="AA711" s="79">
        <v>36167</v>
      </c>
      <c r="AB711" s="78">
        <v>25</v>
      </c>
      <c r="AC711" s="80">
        <v>36270</v>
      </c>
      <c r="AD711" s="75"/>
      <c r="AE711" s="75" t="s">
        <v>1868</v>
      </c>
      <c r="AF711" s="32" t="s">
        <v>1869</v>
      </c>
      <c r="AG711" s="32"/>
    </row>
    <row r="712" spans="2:33">
      <c r="B712" s="111"/>
      <c r="C712" s="32"/>
      <c r="D712" s="32"/>
      <c r="E712" s="32"/>
      <c r="F712" s="32"/>
      <c r="G712" s="32"/>
      <c r="H712" s="196"/>
      <c r="I712" s="32"/>
      <c r="J712" s="32"/>
      <c r="K712" s="32"/>
      <c r="L712" s="32"/>
      <c r="M712" s="190"/>
      <c r="N712" s="32"/>
      <c r="O712" s="32"/>
      <c r="P712" s="17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</row>
    <row r="713" spans="2:33">
      <c r="B713" s="111"/>
      <c r="C713" s="145" t="s">
        <v>1870</v>
      </c>
      <c r="D713" s="32"/>
      <c r="E713" s="32"/>
      <c r="F713" s="32"/>
      <c r="G713" s="32"/>
      <c r="H713" s="196"/>
      <c r="I713" s="32"/>
      <c r="J713" s="32"/>
      <c r="K713" s="32"/>
      <c r="L713" s="32"/>
      <c r="M713" s="190"/>
      <c r="N713" s="32"/>
      <c r="O713" s="32"/>
      <c r="P713" s="17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</row>
    <row r="714" spans="2:33">
      <c r="B714" s="63">
        <v>172</v>
      </c>
      <c r="C714" s="65" t="s">
        <v>1871</v>
      </c>
      <c r="D714" s="65" t="s">
        <v>1872</v>
      </c>
      <c r="E714" s="65"/>
      <c r="F714" s="66">
        <v>486</v>
      </c>
      <c r="G714" s="67" t="s">
        <v>1860</v>
      </c>
      <c r="H714" s="278"/>
      <c r="I714" s="66" t="s">
        <v>422</v>
      </c>
      <c r="J714" s="66" t="s">
        <v>1873</v>
      </c>
      <c r="K714" s="66" t="s">
        <v>422</v>
      </c>
      <c r="L714" s="66" t="s">
        <v>245</v>
      </c>
      <c r="M714" s="93">
        <v>79720</v>
      </c>
      <c r="N714" s="32"/>
      <c r="O714" s="94">
        <v>15944</v>
      </c>
      <c r="P714" s="71"/>
      <c r="Q714" s="77"/>
      <c r="R714" s="77" t="s">
        <v>240</v>
      </c>
      <c r="S714" s="77" t="s">
        <v>1874</v>
      </c>
      <c r="T714" s="78"/>
      <c r="U714" s="78"/>
      <c r="V714" s="78"/>
      <c r="W714" s="79">
        <v>36147</v>
      </c>
      <c r="X714" s="78"/>
      <c r="Y714" s="78"/>
      <c r="Z714" s="78">
        <v>15944</v>
      </c>
      <c r="AA714" s="79">
        <v>36153</v>
      </c>
      <c r="AB714" s="78">
        <v>905</v>
      </c>
      <c r="AC714" s="80">
        <v>36172</v>
      </c>
      <c r="AD714" s="75"/>
      <c r="AE714" s="75"/>
      <c r="AF714" s="32"/>
      <c r="AG714" s="32"/>
    </row>
    <row r="715" spans="2:33">
      <c r="B715" s="111"/>
      <c r="C715" s="32"/>
      <c r="D715" s="32"/>
      <c r="E715" s="32"/>
      <c r="F715" s="32"/>
      <c r="G715" s="32"/>
      <c r="H715" s="196"/>
      <c r="I715" s="32"/>
      <c r="J715" s="32"/>
      <c r="K715" s="32"/>
      <c r="L715" s="32"/>
      <c r="M715" s="190"/>
      <c r="N715" s="32"/>
      <c r="O715" s="32"/>
      <c r="P715" s="17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</row>
    <row r="716" spans="2:33">
      <c r="B716" s="111"/>
      <c r="C716" s="145" t="s">
        <v>1875</v>
      </c>
      <c r="D716" s="32"/>
      <c r="E716" s="32"/>
      <c r="F716" s="32"/>
      <c r="G716" s="32"/>
      <c r="H716" s="196"/>
      <c r="I716" s="32"/>
      <c r="J716" s="32"/>
      <c r="K716" s="32"/>
      <c r="L716" s="32"/>
      <c r="M716" s="190"/>
      <c r="N716" s="32"/>
      <c r="O716" s="32"/>
      <c r="P716" s="17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</row>
    <row r="717" spans="2:33">
      <c r="B717" s="63">
        <v>173</v>
      </c>
      <c r="C717" s="64" t="s">
        <v>1876</v>
      </c>
      <c r="D717" s="64" t="s">
        <v>1877</v>
      </c>
      <c r="E717" s="64"/>
      <c r="F717" s="66">
        <v>259</v>
      </c>
      <c r="G717" s="67" t="s">
        <v>1860</v>
      </c>
      <c r="H717" s="278"/>
      <c r="I717" s="66" t="s">
        <v>244</v>
      </c>
      <c r="J717" s="66" t="s">
        <v>1878</v>
      </c>
      <c r="K717" s="66" t="s">
        <v>244</v>
      </c>
      <c r="L717" s="66" t="s">
        <v>259</v>
      </c>
      <c r="M717" s="93">
        <v>26841.8</v>
      </c>
      <c r="N717" s="32"/>
      <c r="O717" s="94">
        <v>268418</v>
      </c>
      <c r="P717" s="71"/>
      <c r="Q717" s="66"/>
      <c r="R717" s="66" t="s">
        <v>292</v>
      </c>
      <c r="S717" s="66" t="s">
        <v>1083</v>
      </c>
      <c r="T717" s="78">
        <v>45537.2</v>
      </c>
      <c r="U717" s="78"/>
      <c r="V717" s="78"/>
      <c r="W717" s="78"/>
      <c r="X717" s="78"/>
      <c r="Y717" s="78"/>
      <c r="Z717" s="78"/>
      <c r="AA717" s="78"/>
      <c r="AB717" s="78"/>
      <c r="AC717" s="96"/>
      <c r="AD717" s="92"/>
      <c r="AE717" s="92"/>
      <c r="AF717" s="32"/>
      <c r="AG717" s="32"/>
    </row>
    <row r="718" spans="2:33">
      <c r="B718" s="111"/>
      <c r="C718" s="32"/>
      <c r="D718" s="32"/>
      <c r="E718" s="32"/>
      <c r="F718" s="32"/>
      <c r="G718" s="32"/>
      <c r="H718" s="196"/>
      <c r="I718" s="32"/>
      <c r="J718" s="32"/>
      <c r="K718" s="32"/>
      <c r="L718" s="32"/>
      <c r="M718" s="190"/>
      <c r="N718" s="32"/>
      <c r="O718" s="32"/>
      <c r="P718" s="17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</row>
    <row r="719" spans="2:33">
      <c r="B719" s="111"/>
      <c r="C719" s="145" t="s">
        <v>1879</v>
      </c>
      <c r="D719" s="32"/>
      <c r="E719" s="32"/>
      <c r="F719" s="32"/>
      <c r="G719" s="32"/>
      <c r="H719" s="196"/>
      <c r="I719" s="32"/>
      <c r="J719" s="32"/>
      <c r="K719" s="32"/>
      <c r="L719" s="32"/>
      <c r="M719" s="190"/>
      <c r="N719" s="32"/>
      <c r="O719" s="32"/>
      <c r="P719" s="17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</row>
    <row r="720" spans="2:33">
      <c r="B720" s="63">
        <v>174</v>
      </c>
      <c r="C720" s="64" t="s">
        <v>1880</v>
      </c>
      <c r="D720" s="64" t="s">
        <v>1881</v>
      </c>
      <c r="E720" s="64"/>
      <c r="F720" s="66">
        <v>276</v>
      </c>
      <c r="G720" s="67" t="s">
        <v>1860</v>
      </c>
      <c r="H720" s="278"/>
      <c r="I720" s="66" t="s">
        <v>262</v>
      </c>
      <c r="J720" s="66" t="s">
        <v>1882</v>
      </c>
      <c r="K720" s="66" t="s">
        <v>262</v>
      </c>
      <c r="L720" s="66" t="s">
        <v>245</v>
      </c>
      <c r="M720" s="93">
        <v>15438.7</v>
      </c>
      <c r="N720" s="32"/>
      <c r="O720" s="94">
        <v>154387</v>
      </c>
      <c r="P720" s="71"/>
      <c r="Q720" s="66"/>
      <c r="R720" s="66" t="s">
        <v>489</v>
      </c>
      <c r="S720" s="66" t="s">
        <v>1883</v>
      </c>
      <c r="T720" s="78">
        <v>50000</v>
      </c>
      <c r="U720" s="78"/>
      <c r="V720" s="78"/>
      <c r="W720" s="78"/>
      <c r="X720" s="78"/>
      <c r="Y720" s="78"/>
      <c r="Z720" s="78"/>
      <c r="AA720" s="78"/>
      <c r="AB720" s="78"/>
      <c r="AC720" s="96"/>
      <c r="AD720" s="92"/>
      <c r="AE720" s="92"/>
      <c r="AF720" s="32"/>
      <c r="AG720" s="32"/>
    </row>
    <row r="721" spans="2:33">
      <c r="B721" s="111"/>
      <c r="C721" s="32"/>
      <c r="D721" s="32"/>
      <c r="E721" s="32"/>
      <c r="F721" s="32"/>
      <c r="G721" s="32"/>
      <c r="H721" s="196"/>
      <c r="I721" s="32"/>
      <c r="J721" s="32"/>
      <c r="K721" s="32"/>
      <c r="L721" s="32"/>
      <c r="M721" s="190"/>
      <c r="N721" s="32"/>
      <c r="O721" s="32"/>
      <c r="P721" s="17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</row>
    <row r="722" spans="2:33">
      <c r="B722" s="111"/>
      <c r="C722" s="145" t="s">
        <v>1884</v>
      </c>
      <c r="D722" s="32"/>
      <c r="E722" s="32"/>
      <c r="F722" s="32"/>
      <c r="G722" s="32"/>
      <c r="H722" s="196"/>
      <c r="I722" s="32"/>
      <c r="J722" s="32"/>
      <c r="K722" s="32"/>
      <c r="L722" s="32"/>
      <c r="M722" s="190"/>
      <c r="N722" s="32"/>
      <c r="O722" s="32"/>
      <c r="P722" s="17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</row>
    <row r="723" spans="2:33">
      <c r="B723" s="63">
        <v>175</v>
      </c>
      <c r="C723" s="64" t="s">
        <v>1885</v>
      </c>
      <c r="D723" s="64" t="s">
        <v>1886</v>
      </c>
      <c r="E723" s="64"/>
      <c r="F723" s="66">
        <v>18</v>
      </c>
      <c r="G723" s="67" t="s">
        <v>1860</v>
      </c>
      <c r="H723" s="278"/>
      <c r="I723" s="66" t="s">
        <v>422</v>
      </c>
      <c r="J723" s="66" t="s">
        <v>1887</v>
      </c>
      <c r="K723" s="66" t="s">
        <v>422</v>
      </c>
      <c r="L723" s="66" t="s">
        <v>245</v>
      </c>
      <c r="M723" s="93">
        <v>8070.7</v>
      </c>
      <c r="N723" s="32"/>
      <c r="O723" s="94">
        <v>80707</v>
      </c>
      <c r="P723" s="71"/>
      <c r="Q723" s="66"/>
      <c r="R723" s="66" t="s">
        <v>292</v>
      </c>
      <c r="S723" s="66"/>
      <c r="T723" s="78"/>
      <c r="U723" s="78"/>
      <c r="V723" s="78"/>
      <c r="W723" s="78"/>
      <c r="X723" s="78"/>
      <c r="Y723" s="78"/>
      <c r="Z723" s="78"/>
      <c r="AA723" s="78"/>
      <c r="AB723" s="78"/>
      <c r="AC723" s="96"/>
      <c r="AD723" s="92"/>
      <c r="AE723" s="92" t="s">
        <v>1888</v>
      </c>
      <c r="AF723" s="32" t="s">
        <v>1889</v>
      </c>
      <c r="AG723" s="32"/>
    </row>
    <row r="724" spans="2:33">
      <c r="B724" s="111"/>
      <c r="C724" s="32"/>
      <c r="D724" s="32"/>
      <c r="E724" s="32"/>
      <c r="F724" s="32"/>
      <c r="G724" s="32"/>
      <c r="H724" s="196"/>
      <c r="I724" s="32"/>
      <c r="J724" s="32"/>
      <c r="K724" s="32"/>
      <c r="L724" s="32"/>
      <c r="M724" s="190"/>
      <c r="N724" s="32"/>
      <c r="O724" s="32"/>
      <c r="P724" s="17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</row>
    <row r="725" spans="2:33">
      <c r="B725" s="111"/>
      <c r="C725" s="145" t="s">
        <v>1890</v>
      </c>
      <c r="D725" s="32"/>
      <c r="E725" s="32"/>
      <c r="F725" s="32"/>
      <c r="G725" s="32"/>
      <c r="H725" s="196"/>
      <c r="I725" s="32"/>
      <c r="J725" s="32"/>
      <c r="K725" s="32"/>
      <c r="L725" s="32"/>
      <c r="M725" s="190"/>
      <c r="N725" s="32"/>
      <c r="O725" s="32"/>
      <c r="P725" s="17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</row>
    <row r="726" spans="2:33">
      <c r="B726" s="63">
        <v>176</v>
      </c>
      <c r="C726" s="64" t="s">
        <v>1891</v>
      </c>
      <c r="D726" s="64" t="s">
        <v>1892</v>
      </c>
      <c r="E726" s="64"/>
      <c r="F726" s="66">
        <v>129</v>
      </c>
      <c r="G726" s="67" t="s">
        <v>1860</v>
      </c>
      <c r="H726" s="278"/>
      <c r="I726" s="66" t="s">
        <v>355</v>
      </c>
      <c r="J726" s="66" t="s">
        <v>1893</v>
      </c>
      <c r="K726" s="66" t="s">
        <v>355</v>
      </c>
      <c r="L726" s="66" t="s">
        <v>233</v>
      </c>
      <c r="M726" s="93">
        <v>8121.6</v>
      </c>
      <c r="N726" s="32"/>
      <c r="O726" s="94">
        <v>81216</v>
      </c>
      <c r="P726" s="71"/>
      <c r="Q726" s="94"/>
      <c r="R726" s="94" t="s">
        <v>359</v>
      </c>
      <c r="S726" s="94" t="s">
        <v>1894</v>
      </c>
      <c r="T726" s="78"/>
      <c r="U726" s="78"/>
      <c r="V726" s="78"/>
      <c r="W726" s="78"/>
      <c r="X726" s="78"/>
      <c r="Y726" s="78"/>
      <c r="Z726" s="78">
        <v>41420</v>
      </c>
      <c r="AA726" s="79">
        <v>36167</v>
      </c>
      <c r="AB726" s="78">
        <v>129</v>
      </c>
      <c r="AC726" s="80">
        <v>36313</v>
      </c>
      <c r="AD726" s="75"/>
      <c r="AE726" s="75"/>
      <c r="AF726" s="32"/>
      <c r="AG726" s="32"/>
    </row>
    <row r="727" spans="2:33">
      <c r="B727" s="111"/>
      <c r="C727" s="32"/>
      <c r="D727" s="32"/>
      <c r="E727" s="32"/>
      <c r="F727" s="32"/>
      <c r="G727" s="32"/>
      <c r="H727" s="196"/>
      <c r="I727" s="32"/>
      <c r="J727" s="32"/>
      <c r="K727" s="32"/>
      <c r="L727" s="32"/>
      <c r="M727" s="190"/>
      <c r="N727" s="32"/>
      <c r="O727" s="32"/>
      <c r="P727" s="17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</row>
    <row r="728" spans="2:33">
      <c r="B728" s="111"/>
      <c r="C728" s="145" t="s">
        <v>1895</v>
      </c>
      <c r="D728" s="32"/>
      <c r="E728" s="32"/>
      <c r="F728" s="32"/>
      <c r="G728" s="32"/>
      <c r="H728" s="196"/>
      <c r="I728" s="32"/>
      <c r="J728" s="32"/>
      <c r="K728" s="32"/>
      <c r="L728" s="32"/>
      <c r="M728" s="190"/>
      <c r="N728" s="32"/>
      <c r="O728" s="32"/>
      <c r="P728" s="17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</row>
    <row r="729" spans="2:33">
      <c r="B729" s="63">
        <v>177</v>
      </c>
      <c r="C729" s="64" t="s">
        <v>1896</v>
      </c>
      <c r="D729" s="64" t="s">
        <v>1897</v>
      </c>
      <c r="E729" s="64"/>
      <c r="F729" s="66">
        <v>53</v>
      </c>
      <c r="G729" s="67" t="s">
        <v>1898</v>
      </c>
      <c r="H729" s="278"/>
      <c r="I729" s="66" t="s">
        <v>232</v>
      </c>
      <c r="J729" s="66" t="s">
        <v>1899</v>
      </c>
      <c r="K729" s="66" t="s">
        <v>232</v>
      </c>
      <c r="L729" s="66" t="s">
        <v>233</v>
      </c>
      <c r="M729" s="93">
        <v>11181.3</v>
      </c>
      <c r="N729" s="32"/>
      <c r="O729" s="94">
        <v>111813</v>
      </c>
      <c r="P729" s="71"/>
      <c r="Q729" s="66"/>
      <c r="R729" s="66" t="s">
        <v>292</v>
      </c>
      <c r="S729" s="66" t="s">
        <v>1554</v>
      </c>
      <c r="T729" s="78"/>
      <c r="U729" s="78"/>
      <c r="V729" s="78"/>
      <c r="W729" s="78"/>
      <c r="X729" s="78"/>
      <c r="Y729" s="78"/>
      <c r="Z729" s="78"/>
      <c r="AA729" s="78"/>
      <c r="AB729" s="78"/>
      <c r="AC729" s="96"/>
      <c r="AD729" s="92"/>
      <c r="AE729" s="92"/>
      <c r="AF729" s="32"/>
      <c r="AG729" s="32"/>
    </row>
    <row r="730" spans="2:33" ht="9.75" customHeight="1">
      <c r="B730" s="111"/>
      <c r="C730" s="32"/>
      <c r="D730" s="32"/>
      <c r="E730" s="32"/>
      <c r="F730" s="32"/>
      <c r="G730" s="32"/>
      <c r="H730" s="196"/>
      <c r="I730" s="32"/>
      <c r="J730" s="32"/>
      <c r="K730" s="32"/>
      <c r="L730" s="32"/>
      <c r="M730" s="190"/>
      <c r="N730" s="32"/>
      <c r="O730" s="32"/>
      <c r="P730" s="17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</row>
    <row r="731" spans="2:33">
      <c r="B731" s="111"/>
      <c r="C731" s="145" t="s">
        <v>1900</v>
      </c>
      <c r="D731" s="32"/>
      <c r="E731" s="32"/>
      <c r="F731" s="32"/>
      <c r="G731" s="32"/>
      <c r="H731" s="196"/>
      <c r="I731" s="32"/>
      <c r="J731" s="32"/>
      <c r="K731" s="32"/>
      <c r="L731" s="32"/>
      <c r="M731" s="190"/>
      <c r="N731" s="32"/>
      <c r="O731" s="32"/>
      <c r="P731" s="17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</row>
    <row r="732" spans="2:33">
      <c r="B732" s="63">
        <v>178</v>
      </c>
      <c r="C732" s="64" t="s">
        <v>1901</v>
      </c>
      <c r="D732" s="64" t="s">
        <v>857</v>
      </c>
      <c r="E732" s="64"/>
      <c r="F732" s="66">
        <v>126</v>
      </c>
      <c r="G732" s="67" t="s">
        <v>1902</v>
      </c>
      <c r="H732" s="278"/>
      <c r="I732" s="66" t="s">
        <v>422</v>
      </c>
      <c r="J732" s="66" t="s">
        <v>1903</v>
      </c>
      <c r="K732" s="66" t="s">
        <v>422</v>
      </c>
      <c r="L732" s="66" t="s">
        <v>380</v>
      </c>
      <c r="M732" s="93">
        <v>15076.6</v>
      </c>
      <c r="N732" s="32"/>
      <c r="O732" s="94">
        <v>150766</v>
      </c>
      <c r="P732" s="71"/>
      <c r="Q732" s="94"/>
      <c r="R732" s="94" t="s">
        <v>423</v>
      </c>
      <c r="S732" s="94"/>
      <c r="T732" s="78"/>
      <c r="U732" s="78"/>
      <c r="V732" s="78"/>
      <c r="W732" s="78"/>
      <c r="X732" s="78"/>
      <c r="Y732" s="78"/>
      <c r="Z732" s="78">
        <v>24122</v>
      </c>
      <c r="AA732" s="79">
        <v>35923</v>
      </c>
      <c r="AB732" s="78">
        <v>308</v>
      </c>
      <c r="AC732" s="80">
        <v>35941</v>
      </c>
      <c r="AD732" s="75"/>
      <c r="AE732" s="75"/>
      <c r="AF732" s="32"/>
      <c r="AG732" s="32"/>
    </row>
    <row r="733" spans="2:33">
      <c r="B733" s="111"/>
      <c r="C733" s="32"/>
      <c r="D733" s="32"/>
      <c r="E733" s="32"/>
      <c r="F733" s="32"/>
      <c r="G733" s="32"/>
      <c r="H733" s="196"/>
      <c r="I733" s="32"/>
      <c r="J733" s="32"/>
      <c r="K733" s="32"/>
      <c r="L733" s="32"/>
      <c r="M733" s="190"/>
      <c r="N733" s="32"/>
      <c r="O733" s="32"/>
      <c r="P733" s="17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</row>
    <row r="734" spans="2:33">
      <c r="B734" s="111"/>
      <c r="C734" s="145" t="s">
        <v>1904</v>
      </c>
      <c r="D734" s="32"/>
      <c r="E734" s="32"/>
      <c r="F734" s="32"/>
      <c r="G734" s="32"/>
      <c r="H734" s="196"/>
      <c r="I734" s="32"/>
      <c r="J734" s="32"/>
      <c r="K734" s="32"/>
      <c r="L734" s="32"/>
      <c r="M734" s="190"/>
      <c r="N734" s="32"/>
      <c r="O734" s="32"/>
      <c r="P734" s="17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</row>
    <row r="735" spans="2:33">
      <c r="B735" s="63">
        <v>179</v>
      </c>
      <c r="C735" s="65" t="s">
        <v>1905</v>
      </c>
      <c r="D735" s="65" t="s">
        <v>1906</v>
      </c>
      <c r="E735" s="65" t="s">
        <v>1907</v>
      </c>
      <c r="F735" s="66">
        <v>533</v>
      </c>
      <c r="G735" s="67" t="s">
        <v>1908</v>
      </c>
      <c r="H735" s="278"/>
      <c r="I735" s="66" t="s">
        <v>232</v>
      </c>
      <c r="J735" s="66" t="s">
        <v>1909</v>
      </c>
      <c r="K735" s="66" t="s">
        <v>232</v>
      </c>
      <c r="L735" s="66" t="s">
        <v>350</v>
      </c>
      <c r="M735" s="93">
        <f>O735*100/1000</f>
        <v>14832034.800000001</v>
      </c>
      <c r="N735" s="32"/>
      <c r="O735" s="131">
        <v>148320348</v>
      </c>
      <c r="P735" s="71"/>
      <c r="Q735" s="72"/>
      <c r="R735" s="73"/>
      <c r="S735" s="73"/>
      <c r="T735" s="36"/>
      <c r="U735" s="36"/>
      <c r="V735" s="36"/>
      <c r="W735" s="74"/>
      <c r="X735" s="36"/>
      <c r="Y735" s="36"/>
      <c r="Z735" s="36"/>
      <c r="AA735" s="74"/>
      <c r="AB735" s="36"/>
      <c r="AC735" s="75"/>
      <c r="AD735" s="75"/>
      <c r="AE735" s="75"/>
      <c r="AF735" s="108"/>
      <c r="AG735" s="32"/>
    </row>
    <row r="736" spans="2:33">
      <c r="B736" s="111"/>
      <c r="C736" s="32"/>
      <c r="D736" s="32"/>
      <c r="E736" s="32"/>
      <c r="F736" s="32"/>
      <c r="G736" s="32"/>
      <c r="H736" s="196"/>
      <c r="I736" s="32"/>
      <c r="J736" s="32"/>
      <c r="K736" s="32"/>
      <c r="L736" s="32"/>
      <c r="M736" s="190"/>
      <c r="N736" s="32"/>
      <c r="O736" s="32"/>
      <c r="P736" s="17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</row>
    <row r="737" spans="2:37">
      <c r="B737" s="111"/>
      <c r="C737" s="145" t="s">
        <v>1910</v>
      </c>
      <c r="D737" s="32"/>
      <c r="E737" s="32"/>
      <c r="F737" s="32"/>
      <c r="G737" s="32"/>
      <c r="H737" s="196"/>
      <c r="I737" s="32"/>
      <c r="J737" s="32"/>
      <c r="K737" s="32"/>
      <c r="L737" s="32"/>
      <c r="M737" s="190"/>
      <c r="N737" s="32"/>
      <c r="O737" s="32"/>
      <c r="P737" s="17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</row>
    <row r="738" spans="2:37">
      <c r="B738" s="63">
        <v>180</v>
      </c>
      <c r="C738" s="64" t="s">
        <v>1911</v>
      </c>
      <c r="D738" s="64" t="s">
        <v>1912</v>
      </c>
      <c r="E738" s="64"/>
      <c r="F738" s="66">
        <v>451</v>
      </c>
      <c r="G738" s="67" t="s">
        <v>1913</v>
      </c>
      <c r="H738" s="278"/>
      <c r="I738" s="66" t="s">
        <v>349</v>
      </c>
      <c r="J738" s="66" t="s">
        <v>1914</v>
      </c>
      <c r="K738" s="66" t="s">
        <v>349</v>
      </c>
      <c r="L738" s="66" t="s">
        <v>259</v>
      </c>
      <c r="M738" s="93">
        <v>39571.9</v>
      </c>
      <c r="N738" s="32"/>
      <c r="O738" s="94">
        <v>395719</v>
      </c>
      <c r="P738" s="71"/>
      <c r="Q738" s="94"/>
      <c r="R738" s="94" t="s">
        <v>351</v>
      </c>
      <c r="S738" s="94" t="s">
        <v>1464</v>
      </c>
      <c r="T738" s="78"/>
      <c r="U738" s="78"/>
      <c r="V738" s="78"/>
      <c r="W738" s="78"/>
      <c r="X738" s="78"/>
      <c r="Y738" s="78"/>
      <c r="Z738" s="78"/>
      <c r="AA738" s="78"/>
      <c r="AB738" s="95"/>
      <c r="AC738" s="96"/>
      <c r="AD738" s="92"/>
      <c r="AE738" s="92"/>
      <c r="AF738" s="32"/>
      <c r="AG738" s="32"/>
    </row>
    <row r="739" spans="2:37">
      <c r="B739" s="111"/>
      <c r="C739" s="32"/>
      <c r="D739" s="32"/>
      <c r="E739" s="32"/>
      <c r="F739" s="32"/>
      <c r="G739" s="32"/>
      <c r="H739" s="196"/>
      <c r="I739" s="32"/>
      <c r="J739" s="32"/>
      <c r="K739" s="32"/>
      <c r="L739" s="32"/>
      <c r="M739" s="190"/>
      <c r="N739" s="32"/>
      <c r="O739" s="32"/>
      <c r="P739" s="17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</row>
    <row r="740" spans="2:37">
      <c r="B740" s="111"/>
      <c r="C740" s="145" t="s">
        <v>1915</v>
      </c>
      <c r="D740" s="32"/>
      <c r="E740" s="32"/>
      <c r="F740" s="32"/>
      <c r="G740" s="32"/>
      <c r="H740" s="196"/>
      <c r="I740" s="32"/>
      <c r="J740" s="32"/>
      <c r="K740" s="32"/>
      <c r="L740" s="32"/>
      <c r="M740" s="190"/>
      <c r="N740" s="32"/>
      <c r="O740" s="32"/>
      <c r="P740" s="17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</row>
    <row r="741" spans="2:37">
      <c r="B741" s="63">
        <v>181</v>
      </c>
      <c r="C741" s="64" t="s">
        <v>1916</v>
      </c>
      <c r="D741" s="64" t="s">
        <v>1041</v>
      </c>
      <c r="E741" s="64"/>
      <c r="F741" s="66">
        <v>255</v>
      </c>
      <c r="G741" s="67" t="s">
        <v>1917</v>
      </c>
      <c r="H741" s="278"/>
      <c r="I741" s="66" t="s">
        <v>422</v>
      </c>
      <c r="J741" s="66" t="s">
        <v>1918</v>
      </c>
      <c r="K741" s="66" t="s">
        <v>422</v>
      </c>
      <c r="L741" s="66" t="s">
        <v>380</v>
      </c>
      <c r="M741" s="93">
        <v>5653.6</v>
      </c>
      <c r="N741" s="32"/>
      <c r="O741" s="94">
        <v>56536</v>
      </c>
      <c r="P741" s="71"/>
      <c r="Q741" s="94"/>
      <c r="R741" s="94" t="s">
        <v>423</v>
      </c>
      <c r="S741" s="94" t="s">
        <v>1919</v>
      </c>
      <c r="T741" s="78">
        <v>68929.7</v>
      </c>
      <c r="U741" s="79">
        <v>35762</v>
      </c>
      <c r="V741" s="78"/>
      <c r="W741" s="78"/>
      <c r="X741" s="78"/>
      <c r="Y741" s="78"/>
      <c r="Z741" s="78">
        <v>29446</v>
      </c>
      <c r="AA741" s="79">
        <v>35902</v>
      </c>
      <c r="AB741" s="78">
        <v>241</v>
      </c>
      <c r="AC741" s="80">
        <v>35907</v>
      </c>
      <c r="AD741" s="75"/>
      <c r="AE741" s="75"/>
      <c r="AF741" s="32"/>
      <c r="AG741" s="32"/>
    </row>
    <row r="742" spans="2:37">
      <c r="B742" s="87"/>
      <c r="C742" s="88"/>
      <c r="D742" s="88"/>
      <c r="E742" s="88"/>
      <c r="F742" s="56"/>
      <c r="G742" s="242"/>
      <c r="H742" s="294"/>
      <c r="I742" s="56"/>
      <c r="J742" s="56"/>
      <c r="K742" s="56"/>
      <c r="L742" s="56"/>
      <c r="M742" s="58"/>
      <c r="N742" s="32"/>
      <c r="O742" s="90"/>
      <c r="P742" s="60"/>
      <c r="Q742" s="90"/>
      <c r="R742" s="90"/>
      <c r="S742" s="90"/>
      <c r="T742" s="36"/>
      <c r="U742" s="74"/>
      <c r="V742" s="36"/>
      <c r="W742" s="36"/>
      <c r="X742" s="36"/>
      <c r="Y742" s="36"/>
      <c r="Z742" s="36"/>
      <c r="AA742" s="74"/>
      <c r="AB742" s="36"/>
      <c r="AC742" s="75"/>
      <c r="AD742" s="75"/>
      <c r="AE742" s="75"/>
      <c r="AF742" s="32"/>
      <c r="AG742" s="32"/>
    </row>
    <row r="743" spans="2:37">
      <c r="B743" s="87"/>
      <c r="C743" s="145" t="s">
        <v>1920</v>
      </c>
      <c r="D743" s="88"/>
      <c r="E743" s="88"/>
      <c r="F743" s="56"/>
      <c r="G743" s="242"/>
      <c r="H743" s="294"/>
      <c r="I743" s="56"/>
      <c r="J743" s="56"/>
      <c r="K743" s="56"/>
      <c r="L743" s="56"/>
      <c r="M743" s="58"/>
      <c r="N743" s="32"/>
      <c r="O743" s="90"/>
      <c r="P743" s="60"/>
      <c r="Q743" s="90"/>
      <c r="R743" s="90"/>
      <c r="S743" s="90"/>
      <c r="T743" s="36"/>
      <c r="U743" s="74"/>
      <c r="V743" s="36"/>
      <c r="W743" s="36"/>
      <c r="X743" s="36"/>
      <c r="Y743" s="36"/>
      <c r="Z743" s="36"/>
      <c r="AA743" s="74"/>
      <c r="AB743" s="36"/>
      <c r="AC743" s="75"/>
      <c r="AD743" s="75"/>
      <c r="AE743" s="75"/>
      <c r="AF743" s="32"/>
      <c r="AG743" s="32"/>
    </row>
    <row r="744" spans="2:37">
      <c r="B744" s="63">
        <v>182</v>
      </c>
      <c r="C744" s="64" t="s">
        <v>1921</v>
      </c>
      <c r="D744" s="64" t="s">
        <v>1922</v>
      </c>
      <c r="E744" s="64"/>
      <c r="F744" s="66">
        <v>52</v>
      </c>
      <c r="G744" s="67" t="s">
        <v>1923</v>
      </c>
      <c r="H744" s="278"/>
      <c r="I744" s="66" t="s">
        <v>232</v>
      </c>
      <c r="J744" s="66" t="s">
        <v>1924</v>
      </c>
      <c r="K744" s="66" t="s">
        <v>232</v>
      </c>
      <c r="L744" s="66" t="s">
        <v>233</v>
      </c>
      <c r="M744" s="93">
        <v>18783.5</v>
      </c>
      <c r="N744" s="32"/>
      <c r="O744" s="94">
        <v>187835</v>
      </c>
      <c r="P744" s="71"/>
      <c r="Q744" s="94"/>
      <c r="R744" s="94" t="s">
        <v>292</v>
      </c>
      <c r="S744" s="94"/>
      <c r="T744" s="78"/>
      <c r="U744" s="78"/>
      <c r="V744" s="78"/>
      <c r="W744" s="79">
        <v>35922</v>
      </c>
      <c r="X744" s="78"/>
      <c r="Y744" s="78">
        <v>41593</v>
      </c>
      <c r="Z744" s="78">
        <v>65130</v>
      </c>
      <c r="AA744" s="79">
        <v>36094</v>
      </c>
      <c r="AB744" s="78">
        <v>747</v>
      </c>
      <c r="AC744" s="80">
        <v>36105</v>
      </c>
      <c r="AD744" s="75"/>
      <c r="AE744" s="32"/>
      <c r="AF744" s="32" t="s">
        <v>1925</v>
      </c>
      <c r="AG744" s="32"/>
      <c r="AJ744" s="100"/>
      <c r="AK744" s="24" t="s">
        <v>1926</v>
      </c>
    </row>
    <row r="745" spans="2:37">
      <c r="B745" s="87"/>
      <c r="C745" s="88"/>
      <c r="D745" s="88"/>
      <c r="E745" s="88"/>
      <c r="F745" s="56"/>
      <c r="G745" s="242"/>
      <c r="H745" s="294"/>
      <c r="I745" s="56"/>
      <c r="J745" s="56"/>
      <c r="K745" s="56"/>
      <c r="L745" s="56"/>
      <c r="M745" s="58"/>
      <c r="N745" s="32"/>
      <c r="O745" s="90"/>
      <c r="P745" s="60"/>
      <c r="Q745" s="90"/>
      <c r="R745" s="90"/>
      <c r="S745" s="90"/>
      <c r="T745" s="36"/>
      <c r="U745" s="74"/>
      <c r="V745" s="36"/>
      <c r="W745" s="36"/>
      <c r="X745" s="36"/>
      <c r="Y745" s="36"/>
      <c r="Z745" s="36"/>
      <c r="AA745" s="74"/>
      <c r="AB745" s="36"/>
      <c r="AC745" s="75"/>
      <c r="AD745" s="75"/>
      <c r="AE745" s="75"/>
      <c r="AF745" s="32"/>
      <c r="AG745" s="32"/>
    </row>
    <row r="746" spans="2:37">
      <c r="B746" s="87"/>
      <c r="C746" s="145" t="s">
        <v>1927</v>
      </c>
      <c r="D746" s="88"/>
      <c r="E746" s="88"/>
      <c r="F746" s="56"/>
      <c r="G746" s="242"/>
      <c r="H746" s="294"/>
      <c r="I746" s="56"/>
      <c r="J746" s="56"/>
      <c r="K746" s="56"/>
      <c r="L746" s="56"/>
      <c r="M746" s="58"/>
      <c r="N746" s="32"/>
      <c r="O746" s="90"/>
      <c r="P746" s="60"/>
      <c r="Q746" s="90"/>
      <c r="R746" s="90"/>
      <c r="S746" s="90"/>
      <c r="T746" s="36"/>
      <c r="U746" s="74"/>
      <c r="V746" s="36"/>
      <c r="W746" s="36"/>
      <c r="X746" s="36"/>
      <c r="Y746" s="36"/>
      <c r="Z746" s="36"/>
      <c r="AA746" s="74"/>
      <c r="AB746" s="36"/>
      <c r="AC746" s="75"/>
      <c r="AD746" s="75"/>
      <c r="AE746" s="75"/>
      <c r="AF746" s="32"/>
      <c r="AG746" s="32"/>
    </row>
    <row r="747" spans="2:37">
      <c r="B747" s="63">
        <v>183</v>
      </c>
      <c r="C747" s="64" t="s">
        <v>1928</v>
      </c>
      <c r="D747" s="64" t="s">
        <v>1929</v>
      </c>
      <c r="E747" s="64"/>
      <c r="F747" s="66">
        <v>46</v>
      </c>
      <c r="G747" s="67" t="s">
        <v>1923</v>
      </c>
      <c r="H747" s="278"/>
      <c r="I747" s="66" t="s">
        <v>436</v>
      </c>
      <c r="J747" s="66" t="s">
        <v>1930</v>
      </c>
      <c r="K747" s="66" t="s">
        <v>436</v>
      </c>
      <c r="L747" s="66" t="s">
        <v>350</v>
      </c>
      <c r="M747" s="93">
        <v>100654.2</v>
      </c>
      <c r="N747" s="32"/>
      <c r="O747" s="94">
        <v>1006542</v>
      </c>
      <c r="P747" s="71"/>
      <c r="Q747" s="94"/>
      <c r="R747" s="94" t="s">
        <v>292</v>
      </c>
      <c r="S747" s="94"/>
      <c r="T747" s="78"/>
      <c r="U747" s="78"/>
      <c r="V747" s="78"/>
      <c r="W747" s="78"/>
      <c r="X747" s="78"/>
      <c r="Y747" s="78"/>
      <c r="Z747" s="78">
        <v>513336</v>
      </c>
      <c r="AA747" s="79">
        <v>36153</v>
      </c>
      <c r="AB747" s="78">
        <v>917</v>
      </c>
      <c r="AC747" s="80">
        <v>36159</v>
      </c>
      <c r="AD747" s="75"/>
      <c r="AE747" s="75"/>
      <c r="AF747" s="32"/>
      <c r="AG747" s="32"/>
    </row>
    <row r="748" spans="2:37">
      <c r="B748" s="87"/>
      <c r="C748" s="88"/>
      <c r="D748" s="88"/>
      <c r="E748" s="88"/>
      <c r="F748" s="56"/>
      <c r="G748" s="242"/>
      <c r="H748" s="294"/>
      <c r="I748" s="56"/>
      <c r="J748" s="56"/>
      <c r="K748" s="56"/>
      <c r="L748" s="56"/>
      <c r="M748" s="58"/>
      <c r="N748" s="32"/>
      <c r="O748" s="90"/>
      <c r="P748" s="60"/>
      <c r="Q748" s="90"/>
      <c r="R748" s="90"/>
      <c r="S748" s="90"/>
      <c r="T748" s="36"/>
      <c r="U748" s="74"/>
      <c r="V748" s="36"/>
      <c r="W748" s="36"/>
      <c r="X748" s="36"/>
      <c r="Y748" s="36"/>
      <c r="Z748" s="36"/>
      <c r="AA748" s="74"/>
      <c r="AB748" s="36"/>
      <c r="AC748" s="75"/>
      <c r="AD748" s="75"/>
      <c r="AE748" s="75"/>
      <c r="AF748" s="32"/>
      <c r="AG748" s="32"/>
    </row>
    <row r="749" spans="2:37">
      <c r="B749" s="87"/>
      <c r="C749" s="145" t="s">
        <v>1931</v>
      </c>
      <c r="D749" s="88"/>
      <c r="E749" s="88"/>
      <c r="F749" s="56"/>
      <c r="G749" s="242"/>
      <c r="H749" s="294"/>
      <c r="I749" s="56"/>
      <c r="J749" s="56"/>
      <c r="K749" s="56"/>
      <c r="L749" s="56"/>
      <c r="M749" s="58"/>
      <c r="N749" s="32"/>
      <c r="O749" s="90"/>
      <c r="P749" s="60"/>
      <c r="Q749" s="90"/>
      <c r="R749" s="90"/>
      <c r="S749" s="90"/>
      <c r="T749" s="36"/>
      <c r="U749" s="74"/>
      <c r="V749" s="36"/>
      <c r="W749" s="36"/>
      <c r="X749" s="36"/>
      <c r="Y749" s="36"/>
      <c r="Z749" s="36"/>
      <c r="AA749" s="74"/>
      <c r="AB749" s="36"/>
      <c r="AC749" s="75"/>
      <c r="AD749" s="75"/>
      <c r="AE749" s="75"/>
      <c r="AF749" s="32"/>
      <c r="AG749" s="32"/>
    </row>
    <row r="750" spans="2:37">
      <c r="B750" s="63">
        <v>184</v>
      </c>
      <c r="C750" s="64" t="s">
        <v>1932</v>
      </c>
      <c r="D750" s="64" t="s">
        <v>1933</v>
      </c>
      <c r="E750" s="64"/>
      <c r="F750" s="66">
        <v>102</v>
      </c>
      <c r="G750" s="67" t="s">
        <v>1934</v>
      </c>
      <c r="H750" s="278"/>
      <c r="I750" s="66" t="s">
        <v>232</v>
      </c>
      <c r="J750" s="66" t="s">
        <v>1935</v>
      </c>
      <c r="K750" s="66" t="s">
        <v>232</v>
      </c>
      <c r="L750" s="66" t="s">
        <v>233</v>
      </c>
      <c r="M750" s="243">
        <v>12845.1</v>
      </c>
      <c r="N750" s="32"/>
      <c r="O750" s="94">
        <v>128451</v>
      </c>
      <c r="P750" s="71"/>
      <c r="Q750" s="94"/>
      <c r="R750" s="94" t="s">
        <v>292</v>
      </c>
      <c r="S750" s="94" t="s">
        <v>1936</v>
      </c>
      <c r="T750" s="78"/>
      <c r="U750" s="78"/>
      <c r="V750" s="78"/>
      <c r="W750" s="78"/>
      <c r="X750" s="78"/>
      <c r="Y750" s="78"/>
      <c r="Z750" s="78">
        <v>65510</v>
      </c>
      <c r="AA750" s="79">
        <v>35937</v>
      </c>
      <c r="AB750" s="78">
        <v>376</v>
      </c>
      <c r="AC750" s="80">
        <v>35941</v>
      </c>
      <c r="AD750" s="75"/>
      <c r="AE750" s="75"/>
      <c r="AF750" s="32"/>
      <c r="AG750" s="32"/>
    </row>
    <row r="751" spans="2:37">
      <c r="B751" s="87"/>
      <c r="C751" s="88"/>
      <c r="D751" s="88"/>
      <c r="E751" s="88"/>
      <c r="F751" s="56"/>
      <c r="G751" s="242"/>
      <c r="H751" s="294"/>
      <c r="I751" s="56"/>
      <c r="J751" s="56"/>
      <c r="K751" s="56"/>
      <c r="L751" s="56"/>
      <c r="M751" s="244"/>
      <c r="N751" s="32"/>
      <c r="O751" s="90"/>
      <c r="P751" s="60"/>
      <c r="Q751" s="90"/>
      <c r="R751" s="90"/>
      <c r="S751" s="90"/>
      <c r="T751" s="36"/>
      <c r="U751" s="36"/>
      <c r="V751" s="36"/>
      <c r="W751" s="36"/>
      <c r="X751" s="36"/>
      <c r="Y751" s="36"/>
      <c r="Z751" s="36"/>
      <c r="AA751" s="74"/>
      <c r="AB751" s="36"/>
      <c r="AC751" s="75"/>
      <c r="AD751" s="75"/>
      <c r="AE751" s="75"/>
      <c r="AF751" s="32"/>
      <c r="AG751" s="32"/>
    </row>
    <row r="752" spans="2:37">
      <c r="B752" s="87"/>
      <c r="C752" s="145" t="s">
        <v>1937</v>
      </c>
      <c r="D752" s="88"/>
      <c r="E752" s="88"/>
      <c r="F752" s="56"/>
      <c r="G752" s="242"/>
      <c r="H752" s="294"/>
      <c r="I752" s="56"/>
      <c r="J752" s="56"/>
      <c r="K752" s="56"/>
      <c r="L752" s="56"/>
      <c r="M752" s="58"/>
      <c r="N752" s="32"/>
      <c r="O752" s="90"/>
      <c r="P752" s="60"/>
      <c r="Q752" s="90"/>
      <c r="R752" s="90"/>
      <c r="S752" s="90"/>
      <c r="T752" s="36"/>
      <c r="U752" s="74"/>
      <c r="V752" s="36"/>
      <c r="W752" s="36"/>
      <c r="X752" s="36"/>
      <c r="Y752" s="36"/>
      <c r="Z752" s="36"/>
      <c r="AA752" s="74"/>
      <c r="AB752" s="36"/>
      <c r="AC752" s="75"/>
      <c r="AD752" s="75"/>
      <c r="AE752" s="75"/>
      <c r="AF752" s="32"/>
      <c r="AG752" s="32"/>
    </row>
    <row r="753" spans="2:33">
      <c r="B753" s="113">
        <v>185</v>
      </c>
      <c r="C753" s="64" t="s">
        <v>1938</v>
      </c>
      <c r="D753" s="64" t="s">
        <v>1939</v>
      </c>
      <c r="E753" s="64"/>
      <c r="F753" s="66">
        <v>307</v>
      </c>
      <c r="G753" s="67" t="s">
        <v>1940</v>
      </c>
      <c r="H753" s="278"/>
      <c r="I753" s="66" t="s">
        <v>232</v>
      </c>
      <c r="J753" s="66" t="s">
        <v>1941</v>
      </c>
      <c r="K753" s="66" t="s">
        <v>232</v>
      </c>
      <c r="L753" s="66" t="s">
        <v>233</v>
      </c>
      <c r="M753" s="93">
        <v>11017.9</v>
      </c>
      <c r="N753" s="32"/>
      <c r="O753" s="94">
        <v>110179</v>
      </c>
      <c r="P753" s="71"/>
      <c r="Q753" s="66"/>
      <c r="R753" s="66" t="s">
        <v>292</v>
      </c>
      <c r="S753" s="66" t="s">
        <v>1093</v>
      </c>
      <c r="T753" s="78"/>
      <c r="U753" s="78"/>
      <c r="V753" s="78"/>
      <c r="W753" s="78"/>
      <c r="X753" s="78"/>
      <c r="Y753" s="78"/>
      <c r="Z753" s="78"/>
      <c r="AA753" s="78"/>
      <c r="AB753" s="78"/>
      <c r="AC753" s="96"/>
      <c r="AD753" s="92"/>
      <c r="AE753" s="92"/>
      <c r="AF753" s="32"/>
      <c r="AG753" s="32"/>
    </row>
    <row r="754" spans="2:33">
      <c r="B754" s="87"/>
      <c r="C754" s="88"/>
      <c r="D754" s="88"/>
      <c r="E754" s="88"/>
      <c r="F754" s="56"/>
      <c r="G754" s="242"/>
      <c r="H754" s="294"/>
      <c r="I754" s="56"/>
      <c r="J754" s="56"/>
      <c r="K754" s="56"/>
      <c r="L754" s="56"/>
      <c r="M754" s="58"/>
      <c r="N754" s="32"/>
      <c r="O754" s="90"/>
      <c r="P754" s="60"/>
      <c r="Q754" s="56"/>
      <c r="R754" s="56"/>
      <c r="S754" s="56"/>
      <c r="T754" s="36"/>
      <c r="U754" s="36"/>
      <c r="V754" s="36"/>
      <c r="W754" s="36"/>
      <c r="X754" s="36"/>
      <c r="Y754" s="36"/>
      <c r="Z754" s="36"/>
      <c r="AA754" s="36"/>
      <c r="AB754" s="36"/>
      <c r="AC754" s="92"/>
      <c r="AD754" s="92"/>
      <c r="AE754" s="92"/>
      <c r="AF754" s="32"/>
      <c r="AG754" s="32"/>
    </row>
    <row r="755" spans="2:33">
      <c r="B755" s="87"/>
      <c r="C755" s="145" t="s">
        <v>1942</v>
      </c>
      <c r="D755" s="88"/>
      <c r="E755" s="88"/>
      <c r="F755" s="56"/>
      <c r="G755" s="242"/>
      <c r="H755" s="294"/>
      <c r="I755" s="56"/>
      <c r="J755" s="56"/>
      <c r="K755" s="56"/>
      <c r="L755" s="56"/>
      <c r="M755" s="58"/>
      <c r="N755" s="32"/>
      <c r="O755" s="90"/>
      <c r="P755" s="60"/>
      <c r="Q755" s="90"/>
      <c r="R755" s="90"/>
      <c r="S755" s="90"/>
      <c r="T755" s="36"/>
      <c r="U755" s="74"/>
      <c r="V755" s="36"/>
      <c r="W755" s="36"/>
      <c r="X755" s="36"/>
      <c r="Y755" s="36"/>
      <c r="Z755" s="36"/>
      <c r="AA755" s="74"/>
      <c r="AB755" s="36"/>
      <c r="AC755" s="75"/>
      <c r="AD755" s="75"/>
      <c r="AE755" s="75"/>
      <c r="AF755" s="32"/>
      <c r="AG755" s="32"/>
    </row>
    <row r="756" spans="2:33">
      <c r="B756" s="63">
        <v>186</v>
      </c>
      <c r="C756" s="64" t="s">
        <v>1943</v>
      </c>
      <c r="D756" s="64" t="s">
        <v>1944</v>
      </c>
      <c r="E756" s="64"/>
      <c r="F756" s="66">
        <v>428</v>
      </c>
      <c r="G756" s="67" t="s">
        <v>1945</v>
      </c>
      <c r="H756" s="278"/>
      <c r="I756" s="66" t="s">
        <v>232</v>
      </c>
      <c r="J756" s="66" t="s">
        <v>1946</v>
      </c>
      <c r="K756" s="66" t="s">
        <v>232</v>
      </c>
      <c r="L756" s="66" t="s">
        <v>245</v>
      </c>
      <c r="M756" s="93">
        <v>2095096</v>
      </c>
      <c r="N756" s="32"/>
      <c r="O756" s="94">
        <v>20950960</v>
      </c>
      <c r="P756" s="71"/>
      <c r="Q756" s="94" t="s">
        <v>234</v>
      </c>
      <c r="R756" s="94" t="s">
        <v>292</v>
      </c>
      <c r="S756" s="94" t="s">
        <v>1947</v>
      </c>
      <c r="T756" s="78">
        <v>2161582.7999999998</v>
      </c>
      <c r="U756" s="78"/>
      <c r="V756" s="78"/>
      <c r="W756" s="78"/>
      <c r="X756" s="78"/>
      <c r="Y756" s="78"/>
      <c r="Z756" s="78"/>
      <c r="AA756" s="78"/>
      <c r="AB756" s="95"/>
      <c r="AC756" s="96"/>
      <c r="AD756" s="92"/>
      <c r="AE756" s="92"/>
      <c r="AF756" s="32">
        <v>2004</v>
      </c>
      <c r="AG756" s="32"/>
    </row>
    <row r="757" spans="2:33">
      <c r="B757" s="87"/>
      <c r="C757" s="88"/>
      <c r="D757" s="88"/>
      <c r="E757" s="88"/>
      <c r="F757" s="56"/>
      <c r="G757" s="242"/>
      <c r="H757" s="294"/>
      <c r="I757" s="56"/>
      <c r="J757" s="56"/>
      <c r="K757" s="56"/>
      <c r="L757" s="56"/>
      <c r="M757" s="58"/>
      <c r="N757" s="32"/>
      <c r="O757" s="90"/>
      <c r="P757" s="60"/>
      <c r="Q757" s="90"/>
      <c r="R757" s="90"/>
      <c r="S757" s="90"/>
      <c r="T757" s="36"/>
      <c r="U757" s="36"/>
      <c r="V757" s="36"/>
      <c r="W757" s="36"/>
      <c r="X757" s="36"/>
      <c r="Y757" s="36"/>
      <c r="Z757" s="36"/>
      <c r="AA757" s="36"/>
      <c r="AB757" s="36"/>
      <c r="AC757" s="92"/>
      <c r="AD757" s="92"/>
      <c r="AE757" s="92"/>
      <c r="AF757" s="32"/>
      <c r="AG757" s="32"/>
    </row>
    <row r="758" spans="2:33">
      <c r="B758" s="87"/>
      <c r="C758" s="145" t="s">
        <v>1948</v>
      </c>
      <c r="D758" s="88"/>
      <c r="E758" s="88"/>
      <c r="F758" s="56"/>
      <c r="G758" s="242"/>
      <c r="H758" s="294"/>
      <c r="I758" s="56"/>
      <c r="J758" s="56"/>
      <c r="K758" s="56"/>
      <c r="L758" s="56"/>
      <c r="M758" s="58"/>
      <c r="N758" s="32"/>
      <c r="O758" s="90"/>
      <c r="P758" s="60"/>
      <c r="Q758" s="90"/>
      <c r="R758" s="90"/>
      <c r="S758" s="90"/>
      <c r="T758" s="36"/>
      <c r="U758" s="74"/>
      <c r="V758" s="36"/>
      <c r="W758" s="36"/>
      <c r="X758" s="36"/>
      <c r="Y758" s="36"/>
      <c r="Z758" s="36"/>
      <c r="AA758" s="74"/>
      <c r="AB758" s="36"/>
      <c r="AC758" s="75"/>
      <c r="AD758" s="75"/>
      <c r="AE758" s="75"/>
      <c r="AF758" s="32"/>
      <c r="AG758" s="32"/>
    </row>
    <row r="759" spans="2:33">
      <c r="B759" s="63">
        <v>187</v>
      </c>
      <c r="C759" s="64" t="s">
        <v>1949</v>
      </c>
      <c r="D759" s="64" t="s">
        <v>1950</v>
      </c>
      <c r="E759" s="64"/>
      <c r="F759" s="66">
        <v>109</v>
      </c>
      <c r="G759" s="67" t="s">
        <v>1951</v>
      </c>
      <c r="H759" s="278"/>
      <c r="I759" s="66" t="s">
        <v>286</v>
      </c>
      <c r="J759" s="66" t="s">
        <v>1952</v>
      </c>
      <c r="K759" s="66" t="s">
        <v>286</v>
      </c>
      <c r="L759" s="66" t="s">
        <v>350</v>
      </c>
      <c r="M759" s="93">
        <v>310557.3</v>
      </c>
      <c r="N759" s="32"/>
      <c r="O759" s="94">
        <v>3105573</v>
      </c>
      <c r="P759" s="71"/>
      <c r="Q759" s="66"/>
      <c r="R759" s="66" t="s">
        <v>292</v>
      </c>
      <c r="S759" s="66" t="s">
        <v>1953</v>
      </c>
      <c r="T759" s="78"/>
      <c r="U759" s="78"/>
      <c r="V759" s="78"/>
      <c r="W759" s="78"/>
      <c r="X759" s="78"/>
      <c r="Y759" s="78"/>
      <c r="Z759" s="78"/>
      <c r="AA759" s="78"/>
      <c r="AB759" s="78"/>
      <c r="AC759" s="96"/>
      <c r="AD759" s="92"/>
      <c r="AE759" s="92"/>
      <c r="AF759" s="32"/>
      <c r="AG759" s="32"/>
    </row>
    <row r="760" spans="2:33">
      <c r="B760" s="87"/>
      <c r="C760" s="88"/>
      <c r="D760" s="88"/>
      <c r="E760" s="88"/>
      <c r="F760" s="56"/>
      <c r="G760" s="242"/>
      <c r="H760" s="294"/>
      <c r="I760" s="56"/>
      <c r="J760" s="56"/>
      <c r="K760" s="56"/>
      <c r="L760" s="56"/>
      <c r="M760" s="58"/>
      <c r="N760" s="32"/>
      <c r="O760" s="90"/>
      <c r="P760" s="60"/>
      <c r="Q760" s="56"/>
      <c r="R760" s="56"/>
      <c r="S760" s="56"/>
      <c r="T760" s="36"/>
      <c r="U760" s="36"/>
      <c r="V760" s="36"/>
      <c r="W760" s="36"/>
      <c r="X760" s="36"/>
      <c r="Y760" s="36"/>
      <c r="Z760" s="36"/>
      <c r="AA760" s="36"/>
      <c r="AB760" s="36"/>
      <c r="AC760" s="92"/>
      <c r="AD760" s="92"/>
      <c r="AE760" s="92"/>
      <c r="AF760" s="32"/>
      <c r="AG760" s="32"/>
    </row>
    <row r="761" spans="2:33">
      <c r="B761" s="87"/>
      <c r="C761" s="145" t="s">
        <v>1954</v>
      </c>
      <c r="D761" s="88"/>
      <c r="E761" s="88"/>
      <c r="F761" s="56"/>
      <c r="G761" s="242"/>
      <c r="H761" s="294"/>
      <c r="I761" s="56"/>
      <c r="J761" s="56"/>
      <c r="K761" s="56"/>
      <c r="L761" s="56"/>
      <c r="M761" s="58"/>
      <c r="N761" s="32"/>
      <c r="O761" s="90"/>
      <c r="P761" s="60"/>
      <c r="Q761" s="56"/>
      <c r="R761" s="56"/>
      <c r="S761" s="56"/>
      <c r="T761" s="36"/>
      <c r="U761" s="36"/>
      <c r="V761" s="36"/>
      <c r="W761" s="36"/>
      <c r="X761" s="36"/>
      <c r="Y761" s="36"/>
      <c r="Z761" s="36"/>
      <c r="AA761" s="36"/>
      <c r="AB761" s="36"/>
      <c r="AC761" s="92"/>
      <c r="AD761" s="92"/>
      <c r="AE761" s="92"/>
      <c r="AF761" s="32"/>
      <c r="AG761" s="32"/>
    </row>
    <row r="762" spans="2:33">
      <c r="B762" s="63">
        <v>188</v>
      </c>
      <c r="C762" s="64" t="s">
        <v>1955</v>
      </c>
      <c r="D762" s="64" t="s">
        <v>1956</v>
      </c>
      <c r="E762" s="64"/>
      <c r="F762" s="66">
        <v>465</v>
      </c>
      <c r="G762" s="67" t="s">
        <v>1957</v>
      </c>
      <c r="H762" s="278"/>
      <c r="I762" s="66" t="s">
        <v>333</v>
      </c>
      <c r="J762" s="66" t="s">
        <v>1958</v>
      </c>
      <c r="K762" s="66" t="s">
        <v>333</v>
      </c>
      <c r="L762" s="66" t="s">
        <v>259</v>
      </c>
      <c r="M762" s="93">
        <v>31207.7</v>
      </c>
      <c r="N762" s="32"/>
      <c r="O762" s="94">
        <v>250096</v>
      </c>
      <c r="P762" s="71"/>
      <c r="Q762" s="94" t="s">
        <v>333</v>
      </c>
      <c r="R762" s="94" t="s">
        <v>334</v>
      </c>
      <c r="S762" s="94" t="s">
        <v>1959</v>
      </c>
      <c r="T762" s="78"/>
      <c r="U762" s="78"/>
      <c r="V762" s="78"/>
      <c r="W762" s="79">
        <v>36188</v>
      </c>
      <c r="X762" s="78">
        <v>-6198.1</v>
      </c>
      <c r="Y762" s="78">
        <v>-61981</v>
      </c>
      <c r="Z762" s="78"/>
      <c r="AA762" s="78" t="s">
        <v>1960</v>
      </c>
      <c r="AB762" s="95" t="s">
        <v>1961</v>
      </c>
      <c r="AC762" s="80">
        <v>36199</v>
      </c>
      <c r="AD762" s="97" t="s">
        <v>1962</v>
      </c>
      <c r="AE762" s="75"/>
      <c r="AF762" s="32"/>
      <c r="AG762" s="32"/>
    </row>
    <row r="763" spans="2:33">
      <c r="B763" s="87"/>
      <c r="C763" s="88"/>
      <c r="D763" s="88"/>
      <c r="E763" s="88"/>
      <c r="F763" s="56"/>
      <c r="G763" s="242"/>
      <c r="H763" s="294"/>
      <c r="I763" s="56"/>
      <c r="J763" s="56"/>
      <c r="K763" s="56"/>
      <c r="L763" s="56"/>
      <c r="M763" s="58"/>
      <c r="N763" s="32"/>
      <c r="O763" s="90"/>
      <c r="P763" s="60"/>
      <c r="Q763" s="56"/>
      <c r="R763" s="56"/>
      <c r="S763" s="56"/>
      <c r="T763" s="36"/>
      <c r="U763" s="36"/>
      <c r="V763" s="36"/>
      <c r="W763" s="36"/>
      <c r="X763" s="36"/>
      <c r="Y763" s="36"/>
      <c r="Z763" s="36"/>
      <c r="AA763" s="36"/>
      <c r="AB763" s="36"/>
      <c r="AC763" s="92"/>
      <c r="AD763" s="92"/>
      <c r="AE763" s="92"/>
      <c r="AF763" s="32"/>
      <c r="AG763" s="32"/>
    </row>
    <row r="764" spans="2:33">
      <c r="B764" s="111"/>
      <c r="C764" s="145" t="s">
        <v>1963</v>
      </c>
      <c r="D764" s="32"/>
      <c r="E764" s="32"/>
      <c r="F764" s="32"/>
      <c r="G764" s="32"/>
      <c r="H764" s="196"/>
      <c r="I764" s="32"/>
      <c r="J764" s="32"/>
      <c r="K764" s="32"/>
      <c r="L764" s="32"/>
      <c r="M764" s="190"/>
      <c r="N764" s="32"/>
      <c r="O764" s="32"/>
      <c r="P764" s="17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</row>
    <row r="765" spans="2:33">
      <c r="B765" s="63">
        <v>189</v>
      </c>
      <c r="C765" s="65" t="s">
        <v>1964</v>
      </c>
      <c r="D765" s="65" t="s">
        <v>1823</v>
      </c>
      <c r="E765" s="65"/>
      <c r="F765" s="66">
        <v>488</v>
      </c>
      <c r="G765" s="67" t="s">
        <v>1965</v>
      </c>
      <c r="H765" s="278"/>
      <c r="I765" s="66" t="s">
        <v>232</v>
      </c>
      <c r="J765" s="66" t="s">
        <v>1966</v>
      </c>
      <c r="K765" s="66" t="s">
        <v>232</v>
      </c>
      <c r="L765" s="66" t="s">
        <v>245</v>
      </c>
      <c r="M765" s="93">
        <v>201894</v>
      </c>
      <c r="N765" s="32"/>
      <c r="O765" s="94">
        <v>2656500</v>
      </c>
      <c r="P765" s="71"/>
      <c r="Q765" s="77"/>
      <c r="R765" s="77" t="s">
        <v>240</v>
      </c>
      <c r="S765" s="77" t="s">
        <v>461</v>
      </c>
      <c r="T765" s="78"/>
      <c r="U765" s="78"/>
      <c r="V765" s="78"/>
      <c r="W765" s="79"/>
      <c r="X765" s="78"/>
      <c r="Y765" s="78"/>
      <c r="Z765" s="78">
        <v>1593900</v>
      </c>
      <c r="AA765" s="79" t="s">
        <v>1967</v>
      </c>
      <c r="AB765" s="78">
        <v>414</v>
      </c>
      <c r="AC765" s="80" t="s">
        <v>1968</v>
      </c>
      <c r="AD765" s="75"/>
      <c r="AE765" s="75"/>
      <c r="AF765" s="32"/>
      <c r="AG765" s="32"/>
    </row>
    <row r="766" spans="2:33">
      <c r="B766" s="111"/>
      <c r="C766" s="32"/>
      <c r="D766" s="32"/>
      <c r="E766" s="32"/>
      <c r="F766" s="32"/>
      <c r="G766" s="32"/>
      <c r="H766" s="196"/>
      <c r="I766" s="32"/>
      <c r="J766" s="32"/>
      <c r="K766" s="32"/>
      <c r="L766" s="32"/>
      <c r="M766" s="190"/>
      <c r="N766" s="32"/>
      <c r="O766" s="32"/>
      <c r="P766" s="17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</row>
    <row r="767" spans="2:33">
      <c r="B767" s="111"/>
      <c r="C767" s="145" t="s">
        <v>1969</v>
      </c>
      <c r="D767" s="32"/>
      <c r="E767" s="32"/>
      <c r="F767" s="32"/>
      <c r="G767" s="32"/>
      <c r="H767" s="196"/>
      <c r="I767" s="32"/>
      <c r="J767" s="32"/>
      <c r="K767" s="32"/>
      <c r="L767" s="32"/>
      <c r="M767" s="190"/>
      <c r="N767" s="32"/>
      <c r="O767" s="32"/>
      <c r="P767" s="17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</row>
    <row r="768" spans="2:33">
      <c r="B768" s="63">
        <v>190</v>
      </c>
      <c r="C768" s="64" t="s">
        <v>1970</v>
      </c>
      <c r="D768" s="64" t="s">
        <v>1971</v>
      </c>
      <c r="E768" s="64"/>
      <c r="F768" s="66">
        <v>398</v>
      </c>
      <c r="G768" s="67" t="s">
        <v>1972</v>
      </c>
      <c r="H768" s="278"/>
      <c r="I768" s="66" t="s">
        <v>422</v>
      </c>
      <c r="J768" s="66" t="s">
        <v>1973</v>
      </c>
      <c r="K768" s="66" t="s">
        <v>422</v>
      </c>
      <c r="L768" s="66" t="s">
        <v>259</v>
      </c>
      <c r="M768" s="93">
        <v>552936.1</v>
      </c>
      <c r="N768" s="32"/>
      <c r="O768" s="94">
        <v>5529361</v>
      </c>
      <c r="P768" s="71"/>
      <c r="Q768" s="94" t="s">
        <v>234</v>
      </c>
      <c r="R768" s="94" t="s">
        <v>292</v>
      </c>
      <c r="S768" s="94" t="s">
        <v>861</v>
      </c>
      <c r="T768" s="78"/>
      <c r="U768" s="78"/>
      <c r="V768" s="78"/>
      <c r="W768" s="78"/>
      <c r="X768" s="78"/>
      <c r="Y768" s="78"/>
      <c r="Z768" s="78">
        <v>4976425</v>
      </c>
      <c r="AA768" s="78" t="s">
        <v>1974</v>
      </c>
      <c r="AB768" s="78">
        <v>415</v>
      </c>
      <c r="AC768" s="96" t="s">
        <v>1975</v>
      </c>
      <c r="AD768" s="92"/>
      <c r="AE768" s="92"/>
      <c r="AF768" s="32" t="s">
        <v>1976</v>
      </c>
      <c r="AG768" s="32"/>
    </row>
    <row r="769" spans="2:33">
      <c r="B769" s="111"/>
      <c r="C769" s="32"/>
      <c r="D769" s="32"/>
      <c r="E769" s="32"/>
      <c r="F769" s="32"/>
      <c r="G769" s="32"/>
      <c r="H769" s="196"/>
      <c r="I769" s="32"/>
      <c r="J769" s="32"/>
      <c r="K769" s="32"/>
      <c r="L769" s="32"/>
      <c r="M769" s="190"/>
      <c r="N769" s="32"/>
      <c r="O769" s="32"/>
      <c r="P769" s="17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</row>
    <row r="770" spans="2:33">
      <c r="B770" s="111"/>
      <c r="C770" s="145" t="s">
        <v>1977</v>
      </c>
      <c r="D770" s="32"/>
      <c r="E770" s="32"/>
      <c r="F770" s="32"/>
      <c r="G770" s="32"/>
      <c r="H770" s="196"/>
      <c r="I770" s="32"/>
      <c r="J770" s="32"/>
      <c r="K770" s="32"/>
      <c r="L770" s="32"/>
      <c r="M770" s="190"/>
      <c r="N770" s="32"/>
      <c r="O770" s="32"/>
      <c r="P770" s="17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</row>
    <row r="771" spans="2:33">
      <c r="B771" s="63">
        <v>191</v>
      </c>
      <c r="C771" s="64" t="s">
        <v>1978</v>
      </c>
      <c r="D771" s="64" t="s">
        <v>1979</v>
      </c>
      <c r="E771" s="64"/>
      <c r="F771" s="66">
        <v>534</v>
      </c>
      <c r="G771" s="67" t="s">
        <v>1980</v>
      </c>
      <c r="H771" s="278"/>
      <c r="I771" s="66" t="s">
        <v>232</v>
      </c>
      <c r="J771" s="66" t="s">
        <v>1981</v>
      </c>
      <c r="K771" s="66" t="s">
        <v>232</v>
      </c>
      <c r="L771" s="66" t="s">
        <v>350</v>
      </c>
      <c r="M771" s="93">
        <f>O771*100/1000</f>
        <v>7549190</v>
      </c>
      <c r="N771" s="32"/>
      <c r="O771" s="94">
        <v>75491900</v>
      </c>
      <c r="P771" s="71"/>
      <c r="Q771" s="66"/>
      <c r="R771" s="66"/>
      <c r="S771" s="66"/>
      <c r="T771" s="78"/>
      <c r="U771" s="78"/>
      <c r="V771" s="143"/>
      <c r="W771" s="143"/>
      <c r="X771" s="78"/>
      <c r="Y771" s="78"/>
      <c r="Z771" s="78"/>
      <c r="AA771" s="78"/>
      <c r="AB771" s="78"/>
      <c r="AC771" s="96"/>
      <c r="AD771" s="92"/>
      <c r="AE771" s="92"/>
      <c r="AF771" s="32"/>
      <c r="AG771" s="32"/>
    </row>
    <row r="772" spans="2:33">
      <c r="B772" s="111"/>
      <c r="C772" s="32"/>
      <c r="D772" s="32"/>
      <c r="E772" s="32"/>
      <c r="F772" s="32"/>
      <c r="G772" s="32"/>
      <c r="H772" s="196"/>
      <c r="I772" s="32"/>
      <c r="J772" s="32"/>
      <c r="K772" s="32"/>
      <c r="L772" s="32"/>
      <c r="M772" s="190"/>
      <c r="N772" s="32"/>
      <c r="O772" s="32"/>
      <c r="P772" s="17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</row>
    <row r="773" spans="2:33">
      <c r="B773" s="111"/>
      <c r="C773" s="145" t="s">
        <v>1982</v>
      </c>
      <c r="D773" s="32"/>
      <c r="E773" s="32"/>
      <c r="F773" s="32"/>
      <c r="G773" s="32"/>
      <c r="H773" s="196"/>
      <c r="I773" s="32"/>
      <c r="J773" s="32"/>
      <c r="K773" s="32"/>
      <c r="L773" s="32"/>
      <c r="M773" s="190"/>
      <c r="N773" s="32"/>
      <c r="O773" s="32"/>
      <c r="P773" s="17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</row>
    <row r="774" spans="2:33">
      <c r="B774" s="63">
        <v>192</v>
      </c>
      <c r="C774" s="64" t="s">
        <v>1983</v>
      </c>
      <c r="D774" s="64" t="s">
        <v>1984</v>
      </c>
      <c r="E774" s="64"/>
      <c r="F774" s="66">
        <v>339</v>
      </c>
      <c r="G774" s="67" t="s">
        <v>1985</v>
      </c>
      <c r="H774" s="278"/>
      <c r="I774" s="66" t="s">
        <v>688</v>
      </c>
      <c r="J774" s="66" t="s">
        <v>1986</v>
      </c>
      <c r="K774" s="66" t="s">
        <v>688</v>
      </c>
      <c r="L774" s="66" t="s">
        <v>233</v>
      </c>
      <c r="M774" s="93">
        <v>6932.7</v>
      </c>
      <c r="N774" s="32"/>
      <c r="O774" s="94">
        <v>69327</v>
      </c>
      <c r="P774" s="71"/>
      <c r="Q774" s="94"/>
      <c r="R774" s="94" t="s">
        <v>689</v>
      </c>
      <c r="S774" s="94" t="s">
        <v>1669</v>
      </c>
      <c r="T774" s="78"/>
      <c r="U774" s="78"/>
      <c r="V774" s="78"/>
      <c r="W774" s="78"/>
      <c r="X774" s="78"/>
      <c r="Y774" s="78"/>
      <c r="Z774" s="78">
        <v>40903</v>
      </c>
      <c r="AA774" s="79">
        <v>36188</v>
      </c>
      <c r="AB774" s="78">
        <v>58</v>
      </c>
      <c r="AC774" s="80">
        <v>36270</v>
      </c>
      <c r="AD774" s="75"/>
      <c r="AE774" s="75" t="s">
        <v>655</v>
      </c>
      <c r="AF774" s="32"/>
      <c r="AG774" s="32"/>
    </row>
    <row r="775" spans="2:33">
      <c r="B775" s="111"/>
      <c r="C775" s="32"/>
      <c r="D775" s="32"/>
      <c r="E775" s="32"/>
      <c r="F775" s="32"/>
      <c r="G775" s="32"/>
      <c r="H775" s="196"/>
      <c r="I775" s="32"/>
      <c r="J775" s="32"/>
      <c r="K775" s="32"/>
      <c r="L775" s="32"/>
      <c r="M775" s="190"/>
      <c r="N775" s="32"/>
      <c r="O775" s="32"/>
      <c r="P775" s="17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</row>
    <row r="776" spans="2:33">
      <c r="B776" s="111"/>
      <c r="C776" s="145" t="s">
        <v>1987</v>
      </c>
      <c r="D776" s="32"/>
      <c r="E776" s="32"/>
      <c r="F776" s="32"/>
      <c r="G776" s="32"/>
      <c r="H776" s="196"/>
      <c r="I776" s="32"/>
      <c r="J776" s="32"/>
      <c r="K776" s="32"/>
      <c r="L776" s="32"/>
      <c r="M776" s="190"/>
      <c r="N776" s="32"/>
      <c r="O776" s="32"/>
      <c r="P776" s="17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</row>
    <row r="777" spans="2:33">
      <c r="B777" s="63">
        <v>193</v>
      </c>
      <c r="C777" s="64" t="s">
        <v>1988</v>
      </c>
      <c r="D777" s="64" t="s">
        <v>1989</v>
      </c>
      <c r="E777" s="64"/>
      <c r="F777" s="66">
        <v>123</v>
      </c>
      <c r="G777" s="67" t="s">
        <v>1990</v>
      </c>
      <c r="H777" s="278"/>
      <c r="I777" s="66" t="s">
        <v>232</v>
      </c>
      <c r="J777" s="66" t="s">
        <v>1991</v>
      </c>
      <c r="K777" s="66" t="s">
        <v>232</v>
      </c>
      <c r="L777" s="66" t="s">
        <v>245</v>
      </c>
      <c r="M777" s="93">
        <v>7642.7</v>
      </c>
      <c r="N777" s="32"/>
      <c r="O777" s="94">
        <v>76427</v>
      </c>
      <c r="P777" s="71"/>
      <c r="Q777" s="66"/>
      <c r="R777" s="66" t="s">
        <v>292</v>
      </c>
      <c r="S777" s="66" t="s">
        <v>1992</v>
      </c>
      <c r="T777" s="78"/>
      <c r="U777" s="78"/>
      <c r="V777" s="78"/>
      <c r="W777" s="78"/>
      <c r="X777" s="78"/>
      <c r="Y777" s="78"/>
      <c r="Z777" s="78"/>
      <c r="AA777" s="78"/>
      <c r="AB777" s="78"/>
      <c r="AC777" s="96"/>
      <c r="AD777" s="92"/>
      <c r="AE777" s="92"/>
      <c r="AF777" s="32"/>
      <c r="AG777" s="32"/>
    </row>
    <row r="778" spans="2:33">
      <c r="B778" s="111"/>
      <c r="C778" s="145" t="s">
        <v>1993</v>
      </c>
      <c r="D778" s="32"/>
      <c r="E778" s="32"/>
      <c r="F778" s="32"/>
      <c r="G778" s="32"/>
      <c r="H778" s="196"/>
      <c r="I778" s="32"/>
      <c r="J778" s="32"/>
      <c r="K778" s="32"/>
      <c r="L778" s="32"/>
      <c r="M778" s="190"/>
      <c r="N778" s="32"/>
      <c r="O778" s="32"/>
      <c r="P778" s="17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</row>
    <row r="779" spans="2:33">
      <c r="B779" s="63">
        <v>194</v>
      </c>
      <c r="C779" s="64" t="s">
        <v>1994</v>
      </c>
      <c r="D779" s="64" t="s">
        <v>1995</v>
      </c>
      <c r="E779" s="64"/>
      <c r="F779" s="63">
        <v>383</v>
      </c>
      <c r="G779" s="67" t="s">
        <v>1996</v>
      </c>
      <c r="H779" s="278"/>
      <c r="I779" s="63" t="s">
        <v>244</v>
      </c>
      <c r="J779" s="63" t="s">
        <v>1997</v>
      </c>
      <c r="K779" s="63" t="s">
        <v>244</v>
      </c>
      <c r="L779" s="63" t="s">
        <v>233</v>
      </c>
      <c r="M779" s="226">
        <v>67890.3</v>
      </c>
      <c r="N779" s="32"/>
      <c r="O779" s="103">
        <v>678903</v>
      </c>
      <c r="P779" s="71"/>
      <c r="Q779" s="66"/>
      <c r="R779" s="66" t="s">
        <v>513</v>
      </c>
      <c r="S779" s="66" t="s">
        <v>1998</v>
      </c>
      <c r="T779" s="78"/>
      <c r="U779" s="78"/>
      <c r="V779" s="78"/>
      <c r="W779" s="78"/>
      <c r="X779" s="78"/>
      <c r="Y779" s="78"/>
      <c r="Z779" s="78"/>
      <c r="AA779" s="78"/>
      <c r="AB779" s="78"/>
      <c r="AC779" s="96"/>
      <c r="AD779" s="92"/>
      <c r="AE779" s="92"/>
      <c r="AF779" s="32"/>
      <c r="AG779" s="32"/>
    </row>
    <row r="780" spans="2:33">
      <c r="B780" s="111"/>
      <c r="C780" s="32"/>
      <c r="D780" s="32"/>
      <c r="E780" s="32"/>
      <c r="F780" s="32"/>
      <c r="G780" s="32"/>
      <c r="H780" s="196"/>
      <c r="I780" s="32"/>
      <c r="J780" s="32"/>
      <c r="K780" s="32"/>
      <c r="L780" s="32"/>
      <c r="M780" s="190"/>
      <c r="N780" s="32"/>
      <c r="O780" s="32"/>
      <c r="P780" s="17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</row>
    <row r="781" spans="2:33">
      <c r="B781" s="111"/>
      <c r="C781" s="145" t="s">
        <v>1999</v>
      </c>
      <c r="D781" s="32"/>
      <c r="E781" s="32"/>
      <c r="F781" s="32"/>
      <c r="G781" s="32"/>
      <c r="H781" s="196"/>
      <c r="I781" s="32"/>
      <c r="J781" s="32"/>
      <c r="K781" s="32"/>
      <c r="L781" s="32"/>
      <c r="M781" s="190"/>
      <c r="N781" s="32"/>
      <c r="O781" s="32"/>
      <c r="P781" s="17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</row>
    <row r="782" spans="2:33">
      <c r="B782" s="63">
        <v>195</v>
      </c>
      <c r="C782" s="64" t="s">
        <v>2000</v>
      </c>
      <c r="D782" s="64" t="s">
        <v>2001</v>
      </c>
      <c r="E782" s="64"/>
      <c r="F782" s="66">
        <v>279</v>
      </c>
      <c r="G782" s="67" t="s">
        <v>2002</v>
      </c>
      <c r="H782" s="278"/>
      <c r="I782" s="66" t="s">
        <v>345</v>
      </c>
      <c r="J782" s="66" t="s">
        <v>2003</v>
      </c>
      <c r="K782" s="66" t="s">
        <v>345</v>
      </c>
      <c r="L782" s="66" t="s">
        <v>233</v>
      </c>
      <c r="M782" s="93">
        <v>16803.5</v>
      </c>
      <c r="N782" s="32"/>
      <c r="O782" s="94">
        <v>149435</v>
      </c>
      <c r="P782" s="71"/>
      <c r="Q782" s="94"/>
      <c r="R782" s="94" t="s">
        <v>346</v>
      </c>
      <c r="S782" s="94" t="s">
        <v>1734</v>
      </c>
      <c r="T782" s="129"/>
      <c r="U782" s="78"/>
      <c r="V782" s="245" t="s">
        <v>240</v>
      </c>
      <c r="W782" s="79">
        <v>35733</v>
      </c>
      <c r="X782" s="78"/>
      <c r="Y782" s="78">
        <v>-18600</v>
      </c>
      <c r="Z782" s="78">
        <v>31810</v>
      </c>
      <c r="AA782" s="79">
        <v>35909</v>
      </c>
      <c r="AB782" s="78">
        <v>274</v>
      </c>
      <c r="AC782" s="80">
        <v>35913</v>
      </c>
      <c r="AD782" s="75"/>
      <c r="AE782" s="75"/>
      <c r="AF782" s="32"/>
      <c r="AG782" s="32"/>
    </row>
    <row r="783" spans="2:33">
      <c r="B783" s="111"/>
      <c r="C783" s="32"/>
      <c r="D783" s="32"/>
      <c r="E783" s="32"/>
      <c r="F783" s="32"/>
      <c r="G783" s="32"/>
      <c r="H783" s="196"/>
      <c r="I783" s="32"/>
      <c r="J783" s="32"/>
      <c r="K783" s="32"/>
      <c r="L783" s="32"/>
      <c r="M783" s="190"/>
      <c r="N783" s="32"/>
      <c r="O783" s="32"/>
      <c r="P783" s="17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</row>
    <row r="784" spans="2:33">
      <c r="B784" s="111"/>
      <c r="C784" s="145" t="s">
        <v>2004</v>
      </c>
      <c r="D784" s="32"/>
      <c r="E784" s="32"/>
      <c r="F784" s="32"/>
      <c r="G784" s="32"/>
      <c r="H784" s="196"/>
      <c r="I784" s="32"/>
      <c r="J784" s="32"/>
      <c r="K784" s="32"/>
      <c r="L784" s="32"/>
      <c r="M784" s="190"/>
      <c r="N784" s="32"/>
      <c r="O784" s="32"/>
      <c r="P784" s="17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</row>
    <row r="785" spans="2:39">
      <c r="B785" s="63">
        <v>196</v>
      </c>
      <c r="C785" s="64" t="s">
        <v>2005</v>
      </c>
      <c r="D785" s="64" t="s">
        <v>2006</v>
      </c>
      <c r="E785" s="64"/>
      <c r="F785" s="66">
        <v>244</v>
      </c>
      <c r="G785" s="67" t="s">
        <v>2007</v>
      </c>
      <c r="H785" s="278"/>
      <c r="I785" s="66" t="s">
        <v>349</v>
      </c>
      <c r="J785" s="66" t="s">
        <v>2008</v>
      </c>
      <c r="K785" s="66" t="s">
        <v>349</v>
      </c>
      <c r="L785" s="66" t="s">
        <v>233</v>
      </c>
      <c r="M785" s="93">
        <v>7954.5</v>
      </c>
      <c r="N785" s="32"/>
      <c r="O785" s="94">
        <v>79545</v>
      </c>
      <c r="P785" s="71"/>
      <c r="Q785" s="94"/>
      <c r="R785" s="94" t="s">
        <v>351</v>
      </c>
      <c r="S785" s="94"/>
      <c r="T785" s="78"/>
      <c r="U785" s="78"/>
      <c r="V785" s="78"/>
      <c r="W785" s="78"/>
      <c r="X785" s="78"/>
      <c r="Y785" s="78"/>
      <c r="Z785" s="78"/>
      <c r="AA785" s="78"/>
      <c r="AB785" s="78"/>
      <c r="AC785" s="96"/>
      <c r="AD785" s="92"/>
      <c r="AE785" s="92"/>
      <c r="AF785" s="32"/>
      <c r="AG785" s="32"/>
    </row>
    <row r="786" spans="2:39">
      <c r="B786" s="87"/>
      <c r="C786" s="88"/>
      <c r="D786" s="88"/>
      <c r="E786" s="88"/>
      <c r="F786" s="56"/>
      <c r="G786" s="242"/>
      <c r="H786" s="294"/>
      <c r="I786" s="56"/>
      <c r="J786" s="56"/>
      <c r="K786" s="56"/>
      <c r="L786" s="56"/>
      <c r="M786" s="58"/>
      <c r="N786" s="32"/>
      <c r="O786" s="90"/>
      <c r="P786" s="60"/>
      <c r="Q786" s="90"/>
      <c r="R786" s="90"/>
      <c r="S786" s="90"/>
      <c r="T786" s="36"/>
      <c r="U786" s="36"/>
      <c r="V786" s="36"/>
      <c r="W786" s="36"/>
      <c r="X786" s="36"/>
      <c r="Y786" s="36"/>
      <c r="Z786" s="36"/>
      <c r="AA786" s="36"/>
      <c r="AB786" s="36"/>
      <c r="AC786" s="92"/>
      <c r="AD786" s="92"/>
      <c r="AE786" s="92"/>
      <c r="AF786" s="32"/>
      <c r="AG786" s="32"/>
    </row>
    <row r="787" spans="2:39">
      <c r="B787" s="111"/>
      <c r="C787" s="145" t="s">
        <v>2009</v>
      </c>
      <c r="D787" s="32"/>
      <c r="E787" s="32"/>
      <c r="F787" s="32"/>
      <c r="G787" s="32"/>
      <c r="H787" s="196"/>
      <c r="I787" s="32"/>
      <c r="J787" s="32"/>
      <c r="K787" s="32"/>
      <c r="L787" s="32"/>
      <c r="M787" s="190"/>
      <c r="N787" s="32"/>
      <c r="O787" s="32"/>
      <c r="P787" s="17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</row>
    <row r="788" spans="2:39">
      <c r="B788" s="113">
        <v>197</v>
      </c>
      <c r="C788" s="65" t="s">
        <v>2010</v>
      </c>
      <c r="D788" s="65" t="s">
        <v>2011</v>
      </c>
      <c r="E788" s="65"/>
      <c r="F788" s="66">
        <v>493</v>
      </c>
      <c r="G788" s="67" t="s">
        <v>2012</v>
      </c>
      <c r="H788" s="278"/>
      <c r="I788" s="66" t="s">
        <v>232</v>
      </c>
      <c r="J788" s="66" t="s">
        <v>2013</v>
      </c>
      <c r="K788" s="66" t="s">
        <v>232</v>
      </c>
      <c r="L788" s="66" t="s">
        <v>245</v>
      </c>
      <c r="M788" s="93">
        <v>10709.4</v>
      </c>
      <c r="N788" s="32"/>
      <c r="O788" s="131">
        <v>107094</v>
      </c>
      <c r="P788" s="71"/>
      <c r="Q788" s="72"/>
      <c r="R788" s="73"/>
      <c r="S788" s="73"/>
      <c r="T788" s="36"/>
      <c r="U788" s="36"/>
      <c r="V788" s="36"/>
      <c r="W788" s="74"/>
      <c r="X788" s="36"/>
      <c r="Y788" s="36"/>
      <c r="Z788" s="36"/>
      <c r="AA788" s="74"/>
      <c r="AB788" s="36"/>
      <c r="AC788" s="75"/>
      <c r="AD788" s="75"/>
      <c r="AE788" s="75" t="s">
        <v>2014</v>
      </c>
      <c r="AF788" s="32" t="s">
        <v>2015</v>
      </c>
      <c r="AG788" s="32"/>
      <c r="AH788" s="24" t="s">
        <v>2016</v>
      </c>
      <c r="AM788" s="24" t="s">
        <v>2017</v>
      </c>
    </row>
    <row r="789" spans="2:39">
      <c r="B789" s="87"/>
      <c r="C789" s="106"/>
      <c r="D789" s="106"/>
      <c r="E789" s="106"/>
      <c r="F789" s="56"/>
      <c r="G789" s="242"/>
      <c r="H789" s="294"/>
      <c r="I789" s="56"/>
      <c r="J789" s="56"/>
      <c r="K789" s="56"/>
      <c r="L789" s="56"/>
      <c r="M789" s="58"/>
      <c r="N789" s="32"/>
      <c r="O789" s="72"/>
      <c r="P789" s="60"/>
      <c r="Q789" s="72"/>
      <c r="R789" s="73"/>
      <c r="S789" s="73"/>
      <c r="T789" s="36"/>
      <c r="U789" s="36"/>
      <c r="V789" s="36"/>
      <c r="W789" s="74"/>
      <c r="X789" s="36"/>
      <c r="Y789" s="36"/>
      <c r="Z789" s="36"/>
      <c r="AA789" s="74"/>
      <c r="AB789" s="36"/>
      <c r="AC789" s="75"/>
      <c r="AD789" s="75"/>
      <c r="AE789" s="75"/>
      <c r="AF789" s="32"/>
      <c r="AG789" s="32"/>
    </row>
    <row r="790" spans="2:39">
      <c r="B790" s="111"/>
      <c r="C790" s="145" t="s">
        <v>2018</v>
      </c>
      <c r="D790" s="32"/>
      <c r="E790" s="32"/>
      <c r="F790" s="32"/>
      <c r="G790" s="32"/>
      <c r="H790" s="196"/>
      <c r="I790" s="32"/>
      <c r="J790" s="32"/>
      <c r="K790" s="32"/>
      <c r="L790" s="32"/>
      <c r="M790" s="190"/>
      <c r="N790" s="32"/>
      <c r="O790" s="32"/>
      <c r="P790" s="17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</row>
    <row r="791" spans="2:39">
      <c r="B791" s="113">
        <v>198</v>
      </c>
      <c r="C791" s="64" t="s">
        <v>2019</v>
      </c>
      <c r="D791" s="64" t="s">
        <v>2020</v>
      </c>
      <c r="E791" s="64"/>
      <c r="F791" s="66">
        <v>218</v>
      </c>
      <c r="G791" s="67" t="s">
        <v>2021</v>
      </c>
      <c r="H791" s="278"/>
      <c r="I791" s="66" t="s">
        <v>708</v>
      </c>
      <c r="J791" s="66" t="s">
        <v>2022</v>
      </c>
      <c r="K791" s="66" t="s">
        <v>708</v>
      </c>
      <c r="L791" s="66" t="s">
        <v>259</v>
      </c>
      <c r="M791" s="93">
        <v>7397.2</v>
      </c>
      <c r="N791" s="32"/>
      <c r="O791" s="94">
        <v>73972</v>
      </c>
      <c r="P791" s="71"/>
      <c r="Q791" s="66"/>
      <c r="R791" s="66" t="s">
        <v>709</v>
      </c>
      <c r="S791" s="66" t="s">
        <v>839</v>
      </c>
      <c r="T791" s="78"/>
      <c r="U791" s="78"/>
      <c r="V791" s="78"/>
      <c r="W791" s="78"/>
      <c r="X791" s="78"/>
      <c r="Y791" s="78"/>
      <c r="Z791" s="78"/>
      <c r="AA791" s="78"/>
      <c r="AB791" s="78"/>
      <c r="AC791" s="96"/>
      <c r="AD791" s="92"/>
      <c r="AE791" s="92"/>
      <c r="AF791" s="32"/>
      <c r="AG791" s="32"/>
    </row>
    <row r="792" spans="2:39">
      <c r="B792" s="111"/>
      <c r="C792" s="32"/>
      <c r="D792" s="32"/>
      <c r="E792" s="32"/>
      <c r="F792" s="32"/>
      <c r="G792" s="32"/>
      <c r="H792" s="196"/>
      <c r="I792" s="32"/>
      <c r="J792" s="32"/>
      <c r="K792" s="32"/>
      <c r="L792" s="32"/>
      <c r="M792" s="190"/>
      <c r="N792" s="32"/>
      <c r="O792" s="32"/>
      <c r="P792" s="17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</row>
    <row r="793" spans="2:39">
      <c r="B793" s="111"/>
      <c r="C793" s="145" t="s">
        <v>2023</v>
      </c>
      <c r="D793" s="32"/>
      <c r="E793" s="32"/>
      <c r="F793" s="32"/>
      <c r="G793" s="32"/>
      <c r="H793" s="196"/>
      <c r="I793" s="32"/>
      <c r="J793" s="32"/>
      <c r="K793" s="32"/>
      <c r="L793" s="32"/>
      <c r="M793" s="190"/>
      <c r="N793" s="32"/>
      <c r="O793" s="32"/>
      <c r="P793" s="17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</row>
    <row r="794" spans="2:39">
      <c r="B794" s="63">
        <v>199</v>
      </c>
      <c r="C794" s="64" t="s">
        <v>2024</v>
      </c>
      <c r="D794" s="64" t="s">
        <v>2025</v>
      </c>
      <c r="E794" s="64"/>
      <c r="F794" s="66">
        <v>24</v>
      </c>
      <c r="G794" s="67" t="s">
        <v>2026</v>
      </c>
      <c r="H794" s="278"/>
      <c r="I794" s="66" t="s">
        <v>232</v>
      </c>
      <c r="J794" s="66" t="s">
        <v>2027</v>
      </c>
      <c r="K794" s="66" t="s">
        <v>232</v>
      </c>
      <c r="L794" s="66" t="s">
        <v>233</v>
      </c>
      <c r="M794" s="93">
        <v>5092.2</v>
      </c>
      <c r="N794" s="32"/>
      <c r="O794" s="94">
        <v>50922</v>
      </c>
      <c r="P794" s="71"/>
      <c r="Q794" s="94"/>
      <c r="R794" s="94" t="s">
        <v>292</v>
      </c>
      <c r="S794" s="94"/>
      <c r="T794" s="78"/>
      <c r="U794" s="78"/>
      <c r="V794" s="78"/>
      <c r="W794" s="78"/>
      <c r="X794" s="78"/>
      <c r="Y794" s="78"/>
      <c r="Z794" s="78">
        <v>25970</v>
      </c>
      <c r="AA794" s="79">
        <v>36048</v>
      </c>
      <c r="AB794" s="78">
        <v>637</v>
      </c>
      <c r="AC794" s="80">
        <v>36083</v>
      </c>
      <c r="AD794" s="75"/>
      <c r="AE794" s="75"/>
      <c r="AF794" s="32"/>
      <c r="AG794" s="32"/>
    </row>
    <row r="795" spans="2:39">
      <c r="B795" s="111"/>
      <c r="C795" s="32"/>
      <c r="D795" s="32"/>
      <c r="E795" s="32"/>
      <c r="F795" s="32"/>
      <c r="G795" s="32"/>
      <c r="H795" s="196"/>
      <c r="I795" s="32"/>
      <c r="J795" s="32"/>
      <c r="K795" s="32"/>
      <c r="L795" s="32"/>
      <c r="M795" s="190"/>
      <c r="N795" s="32"/>
      <c r="O795" s="32"/>
      <c r="P795" s="17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</row>
    <row r="796" spans="2:39">
      <c r="B796" s="111"/>
      <c r="C796" s="145" t="s">
        <v>2028</v>
      </c>
      <c r="D796" s="32"/>
      <c r="E796" s="32"/>
      <c r="F796" s="32"/>
      <c r="G796" s="32"/>
      <c r="H796" s="196"/>
      <c r="I796" s="32"/>
      <c r="J796" s="32"/>
      <c r="K796" s="32"/>
      <c r="L796" s="32"/>
      <c r="M796" s="190"/>
      <c r="N796" s="32"/>
      <c r="O796" s="32"/>
      <c r="P796" s="17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</row>
    <row r="797" spans="2:39">
      <c r="B797" s="113">
        <v>200</v>
      </c>
      <c r="C797" s="64" t="s">
        <v>2029</v>
      </c>
      <c r="D797" s="64" t="s">
        <v>2030</v>
      </c>
      <c r="E797" s="64"/>
      <c r="F797" s="66">
        <v>257</v>
      </c>
      <c r="G797" s="67" t="s">
        <v>2031</v>
      </c>
      <c r="H797" s="278"/>
      <c r="I797" s="66" t="s">
        <v>296</v>
      </c>
      <c r="J797" s="66" t="s">
        <v>2032</v>
      </c>
      <c r="K797" s="66" t="s">
        <v>296</v>
      </c>
      <c r="L797" s="66" t="s">
        <v>350</v>
      </c>
      <c r="M797" s="93">
        <v>14638.7</v>
      </c>
      <c r="N797" s="32"/>
      <c r="O797" s="94">
        <v>146387</v>
      </c>
      <c r="P797" s="71"/>
      <c r="Q797" s="66"/>
      <c r="R797" s="66" t="s">
        <v>297</v>
      </c>
      <c r="S797" s="66" t="s">
        <v>2033</v>
      </c>
      <c r="T797" s="78"/>
      <c r="U797" s="78"/>
      <c r="V797" s="78"/>
      <c r="W797" s="78"/>
      <c r="X797" s="78"/>
      <c r="Y797" s="78"/>
      <c r="Z797" s="78"/>
      <c r="AA797" s="78"/>
      <c r="AB797" s="78"/>
      <c r="AC797" s="96"/>
      <c r="AD797" s="92"/>
      <c r="AE797" s="92"/>
      <c r="AF797" s="32"/>
      <c r="AG797" s="32"/>
    </row>
    <row r="798" spans="2:39">
      <c r="B798" s="87"/>
      <c r="C798" s="88"/>
      <c r="D798" s="88"/>
      <c r="E798" s="88"/>
      <c r="F798" s="56"/>
      <c r="G798" s="242"/>
      <c r="H798" s="294"/>
      <c r="I798" s="56"/>
      <c r="J798" s="56"/>
      <c r="K798" s="56"/>
      <c r="L798" s="56"/>
      <c r="M798" s="58"/>
      <c r="N798" s="32"/>
      <c r="O798" s="90"/>
      <c r="P798" s="60"/>
      <c r="Q798" s="56"/>
      <c r="R798" s="56"/>
      <c r="S798" s="56"/>
      <c r="T798" s="36"/>
      <c r="U798" s="36"/>
      <c r="V798" s="36"/>
      <c r="W798" s="36"/>
      <c r="X798" s="36"/>
      <c r="Y798" s="36"/>
      <c r="Z798" s="36"/>
      <c r="AA798" s="36"/>
      <c r="AB798" s="36"/>
      <c r="AC798" s="92"/>
      <c r="AD798" s="92"/>
      <c r="AE798" s="92"/>
      <c r="AF798" s="32"/>
      <c r="AG798" s="32"/>
    </row>
    <row r="799" spans="2:39">
      <c r="B799" s="87"/>
      <c r="C799" s="145" t="s">
        <v>2034</v>
      </c>
      <c r="D799" s="88"/>
      <c r="E799" s="88"/>
      <c r="F799" s="56"/>
      <c r="G799" s="242"/>
      <c r="H799" s="294"/>
      <c r="I799" s="56"/>
      <c r="J799" s="56"/>
      <c r="K799" s="56"/>
      <c r="L799" s="56"/>
      <c r="M799" s="58"/>
      <c r="N799" s="32"/>
      <c r="O799" s="90"/>
      <c r="P799" s="60"/>
      <c r="Q799" s="56"/>
      <c r="R799" s="56"/>
      <c r="S799" s="56"/>
      <c r="T799" s="36"/>
      <c r="U799" s="36"/>
      <c r="V799" s="36"/>
      <c r="W799" s="36"/>
      <c r="X799" s="36"/>
      <c r="Y799" s="36"/>
      <c r="Z799" s="36"/>
      <c r="AA799" s="36"/>
      <c r="AB799" s="36"/>
      <c r="AC799" s="92"/>
      <c r="AD799" s="92"/>
      <c r="AE799" s="92"/>
      <c r="AF799" s="32"/>
      <c r="AG799" s="32"/>
    </row>
    <row r="800" spans="2:39">
      <c r="B800" s="113">
        <v>201</v>
      </c>
      <c r="C800" s="64" t="s">
        <v>2035</v>
      </c>
      <c r="D800" s="64" t="s">
        <v>2036</v>
      </c>
      <c r="E800" s="64"/>
      <c r="F800" s="66">
        <v>364</v>
      </c>
      <c r="G800" s="67" t="s">
        <v>2037</v>
      </c>
      <c r="H800" s="278"/>
      <c r="I800" s="66" t="s">
        <v>708</v>
      </c>
      <c r="J800" s="66" t="s">
        <v>2038</v>
      </c>
      <c r="K800" s="66" t="s">
        <v>708</v>
      </c>
      <c r="L800" s="66" t="s">
        <v>380</v>
      </c>
      <c r="M800" s="93">
        <v>15336.5</v>
      </c>
      <c r="N800" s="32"/>
      <c r="O800" s="94">
        <v>153365</v>
      </c>
      <c r="P800" s="71"/>
      <c r="Q800" s="94"/>
      <c r="R800" s="94" t="s">
        <v>709</v>
      </c>
      <c r="S800" s="94" t="s">
        <v>2039</v>
      </c>
      <c r="T800" s="78"/>
      <c r="U800" s="78"/>
      <c r="V800" s="78"/>
      <c r="W800" s="78"/>
      <c r="X800" s="78"/>
      <c r="Y800" s="78"/>
      <c r="Z800" s="78">
        <v>78216</v>
      </c>
      <c r="AA800" s="79">
        <v>36139</v>
      </c>
      <c r="AB800" s="78">
        <v>861</v>
      </c>
      <c r="AC800" s="80">
        <v>36300</v>
      </c>
      <c r="AD800" s="75"/>
      <c r="AE800" s="75"/>
      <c r="AF800" s="32"/>
      <c r="AG800" s="32"/>
    </row>
    <row r="801" spans="2:39">
      <c r="B801" s="87"/>
      <c r="C801" s="88"/>
      <c r="D801" s="88"/>
      <c r="E801" s="88"/>
      <c r="F801" s="56"/>
      <c r="G801" s="242"/>
      <c r="H801" s="294"/>
      <c r="I801" s="56"/>
      <c r="J801" s="56"/>
      <c r="K801" s="56"/>
      <c r="L801" s="56"/>
      <c r="M801" s="58"/>
      <c r="N801" s="32"/>
      <c r="O801" s="90"/>
      <c r="P801" s="60"/>
      <c r="Q801" s="56"/>
      <c r="R801" s="56"/>
      <c r="S801" s="56"/>
      <c r="T801" s="36"/>
      <c r="U801" s="36"/>
      <c r="V801" s="36"/>
      <c r="W801" s="36"/>
      <c r="X801" s="36"/>
      <c r="Y801" s="36"/>
      <c r="Z801" s="36"/>
      <c r="AA801" s="36"/>
      <c r="AB801" s="36"/>
      <c r="AC801" s="92"/>
      <c r="AD801" s="92"/>
      <c r="AE801" s="92"/>
      <c r="AF801" s="32"/>
      <c r="AG801" s="32"/>
    </row>
    <row r="802" spans="2:39">
      <c r="B802" s="87"/>
      <c r="C802" s="145" t="s">
        <v>2040</v>
      </c>
      <c r="D802" s="88"/>
      <c r="E802" s="88"/>
      <c r="F802" s="56"/>
      <c r="G802" s="242"/>
      <c r="H802" s="294"/>
      <c r="I802" s="56"/>
      <c r="J802" s="56"/>
      <c r="K802" s="56"/>
      <c r="L802" s="56"/>
      <c r="M802" s="58"/>
      <c r="N802" s="32"/>
      <c r="O802" s="90"/>
      <c r="P802" s="60"/>
      <c r="Q802" s="56"/>
      <c r="R802" s="56"/>
      <c r="S802" s="56"/>
      <c r="T802" s="36"/>
      <c r="U802" s="36"/>
      <c r="V802" s="36"/>
      <c r="W802" s="36"/>
      <c r="X802" s="36"/>
      <c r="Y802" s="36"/>
      <c r="Z802" s="36"/>
      <c r="AA802" s="36"/>
      <c r="AB802" s="36"/>
      <c r="AC802" s="92"/>
      <c r="AD802" s="92"/>
      <c r="AE802" s="92"/>
      <c r="AF802" s="32"/>
      <c r="AG802" s="32"/>
    </row>
    <row r="803" spans="2:39">
      <c r="B803" s="113">
        <v>202</v>
      </c>
      <c r="C803" s="65" t="s">
        <v>2041</v>
      </c>
      <c r="D803" s="65" t="s">
        <v>2042</v>
      </c>
      <c r="E803" s="65"/>
      <c r="F803" s="66">
        <v>509</v>
      </c>
      <c r="G803" s="67" t="s">
        <v>2043</v>
      </c>
      <c r="H803" s="278"/>
      <c r="I803" s="66" t="s">
        <v>232</v>
      </c>
      <c r="J803" s="66" t="s">
        <v>2044</v>
      </c>
      <c r="K803" s="66" t="s">
        <v>232</v>
      </c>
      <c r="L803" s="66" t="s">
        <v>245</v>
      </c>
      <c r="M803" s="93">
        <v>4001045.7</v>
      </c>
      <c r="N803" s="32"/>
      <c r="O803" s="131">
        <v>40010457</v>
      </c>
      <c r="P803" s="71"/>
      <c r="Q803" s="72"/>
      <c r="R803" s="73"/>
      <c r="S803" s="73"/>
      <c r="T803" s="36"/>
      <c r="U803" s="36"/>
      <c r="V803" s="36"/>
      <c r="W803" s="74"/>
      <c r="X803" s="36"/>
      <c r="Y803" s="36"/>
      <c r="Z803" s="36"/>
      <c r="AA803" s="74"/>
      <c r="AB803" s="36"/>
      <c r="AC803" s="75"/>
      <c r="AD803" s="75"/>
      <c r="AE803" s="75"/>
      <c r="AF803" s="108" t="s">
        <v>2045</v>
      </c>
      <c r="AG803" s="32"/>
      <c r="AH803" s="24" t="s">
        <v>2046</v>
      </c>
      <c r="AM803" s="24" t="s">
        <v>2047</v>
      </c>
    </row>
    <row r="804" spans="2:39">
      <c r="B804" s="87"/>
      <c r="C804" s="106"/>
      <c r="D804" s="106"/>
      <c r="E804" s="106"/>
      <c r="F804" s="56"/>
      <c r="G804" s="242"/>
      <c r="H804" s="294"/>
      <c r="I804" s="56"/>
      <c r="J804" s="56"/>
      <c r="K804" s="56"/>
      <c r="L804" s="56"/>
      <c r="M804" s="58"/>
      <c r="N804" s="32"/>
      <c r="O804" s="72"/>
      <c r="P804" s="60"/>
      <c r="Q804" s="72"/>
      <c r="R804" s="73"/>
      <c r="S804" s="73"/>
      <c r="T804" s="36"/>
      <c r="U804" s="36"/>
      <c r="V804" s="36"/>
      <c r="W804" s="74"/>
      <c r="X804" s="36"/>
      <c r="Y804" s="36"/>
      <c r="Z804" s="36"/>
      <c r="AA804" s="74"/>
      <c r="AB804" s="36"/>
      <c r="AC804" s="75"/>
      <c r="AD804" s="75"/>
      <c r="AE804" s="75"/>
      <c r="AF804" s="108"/>
      <c r="AG804" s="32"/>
    </row>
    <row r="805" spans="2:39">
      <c r="B805" s="87"/>
      <c r="C805" s="145" t="s">
        <v>2048</v>
      </c>
      <c r="D805" s="88"/>
      <c r="E805" s="88"/>
      <c r="F805" s="56"/>
      <c r="G805" s="242"/>
      <c r="H805" s="294"/>
      <c r="I805" s="56"/>
      <c r="J805" s="56"/>
      <c r="K805" s="56"/>
      <c r="L805" s="56"/>
      <c r="M805" s="58"/>
      <c r="N805" s="32"/>
      <c r="O805" s="90"/>
      <c r="P805" s="60"/>
      <c r="Q805" s="56"/>
      <c r="R805" s="56"/>
      <c r="S805" s="56"/>
      <c r="T805" s="36"/>
      <c r="U805" s="36"/>
      <c r="V805" s="36"/>
      <c r="W805" s="36"/>
      <c r="X805" s="36"/>
      <c r="Y805" s="36"/>
      <c r="Z805" s="36"/>
      <c r="AA805" s="36"/>
      <c r="AB805" s="36"/>
      <c r="AC805" s="92"/>
      <c r="AD805" s="92"/>
      <c r="AE805" s="92"/>
      <c r="AF805" s="32"/>
      <c r="AG805" s="32"/>
    </row>
    <row r="806" spans="2:39">
      <c r="B806" s="63">
        <v>203</v>
      </c>
      <c r="C806" s="64" t="s">
        <v>2049</v>
      </c>
      <c r="D806" s="64" t="s">
        <v>2050</v>
      </c>
      <c r="E806" s="64"/>
      <c r="F806" s="66">
        <v>5</v>
      </c>
      <c r="G806" s="67" t="s">
        <v>2051</v>
      </c>
      <c r="H806" s="278"/>
      <c r="I806" s="66" t="s">
        <v>232</v>
      </c>
      <c r="J806" s="66" t="s">
        <v>2052</v>
      </c>
      <c r="K806" s="66" t="s">
        <v>232</v>
      </c>
      <c r="L806" s="66" t="s">
        <v>245</v>
      </c>
      <c r="M806" s="93">
        <v>337342</v>
      </c>
      <c r="N806" s="32"/>
      <c r="O806" s="94">
        <v>131620</v>
      </c>
      <c r="P806" s="71"/>
      <c r="Q806" s="66"/>
      <c r="R806" s="66" t="s">
        <v>292</v>
      </c>
      <c r="S806" s="66" t="s">
        <v>394</v>
      </c>
      <c r="T806" s="78"/>
      <c r="U806" s="79">
        <v>36228</v>
      </c>
      <c r="V806" s="78">
        <v>-15630</v>
      </c>
      <c r="W806" s="78"/>
      <c r="X806" s="78"/>
      <c r="Y806" s="78"/>
      <c r="Z806" s="78"/>
      <c r="AA806" s="78"/>
      <c r="AB806" s="78"/>
      <c r="AC806" s="96"/>
      <c r="AD806" s="92"/>
      <c r="AE806" s="92"/>
      <c r="AF806" s="32"/>
      <c r="AG806" s="32"/>
    </row>
    <row r="807" spans="2:39">
      <c r="B807" s="87"/>
      <c r="C807" s="88"/>
      <c r="D807" s="88"/>
      <c r="E807" s="88"/>
      <c r="F807" s="56"/>
      <c r="G807" s="242"/>
      <c r="H807" s="294"/>
      <c r="I807" s="56"/>
      <c r="J807" s="56"/>
      <c r="K807" s="56"/>
      <c r="L807" s="56"/>
      <c r="M807" s="58"/>
      <c r="N807" s="32"/>
      <c r="O807" s="90"/>
      <c r="P807" s="60"/>
      <c r="Q807" s="56"/>
      <c r="R807" s="56"/>
      <c r="S807" s="56"/>
      <c r="T807" s="36"/>
      <c r="U807" s="74"/>
      <c r="V807" s="36"/>
      <c r="W807" s="36"/>
      <c r="X807" s="36"/>
      <c r="Y807" s="36"/>
      <c r="Z807" s="36"/>
      <c r="AA807" s="36"/>
      <c r="AB807" s="36"/>
      <c r="AC807" s="92"/>
      <c r="AD807" s="92"/>
      <c r="AE807" s="92"/>
      <c r="AF807" s="32"/>
      <c r="AG807" s="32"/>
    </row>
    <row r="808" spans="2:39">
      <c r="B808" s="87"/>
      <c r="C808" s="145" t="s">
        <v>2053</v>
      </c>
      <c r="D808" s="88"/>
      <c r="E808" s="88"/>
      <c r="F808" s="56"/>
      <c r="G808" s="242"/>
      <c r="H808" s="294"/>
      <c r="I808" s="56"/>
      <c r="J808" s="56"/>
      <c r="K808" s="56"/>
      <c r="L808" s="56"/>
      <c r="M808" s="58"/>
      <c r="N808" s="32"/>
      <c r="O808" s="90"/>
      <c r="P808" s="60"/>
      <c r="Q808" s="56"/>
      <c r="R808" s="56"/>
      <c r="S808" s="56"/>
      <c r="T808" s="36"/>
      <c r="U808" s="36"/>
      <c r="V808" s="36"/>
      <c r="W808" s="36"/>
      <c r="X808" s="36"/>
      <c r="Y808" s="36"/>
      <c r="Z808" s="36"/>
      <c r="AA808" s="36"/>
      <c r="AB808" s="36"/>
      <c r="AC808" s="92"/>
      <c r="AD808" s="92"/>
      <c r="AE808" s="92"/>
      <c r="AF808" s="32"/>
      <c r="AG808" s="32"/>
    </row>
    <row r="809" spans="2:39">
      <c r="B809" s="63">
        <v>204</v>
      </c>
      <c r="C809" s="64" t="s">
        <v>2054</v>
      </c>
      <c r="D809" s="64" t="s">
        <v>2055</v>
      </c>
      <c r="E809" s="64"/>
      <c r="F809" s="63">
        <v>241</v>
      </c>
      <c r="G809" s="67" t="s">
        <v>2056</v>
      </c>
      <c r="H809" s="278"/>
      <c r="I809" s="63" t="s">
        <v>262</v>
      </c>
      <c r="J809" s="63" t="s">
        <v>2057</v>
      </c>
      <c r="K809" s="63" t="s">
        <v>262</v>
      </c>
      <c r="L809" s="63" t="s">
        <v>245</v>
      </c>
      <c r="M809" s="226">
        <v>19113.5</v>
      </c>
      <c r="N809" s="32"/>
      <c r="O809" s="103">
        <v>191135</v>
      </c>
      <c r="P809" s="71"/>
      <c r="Q809" s="94"/>
      <c r="R809" s="94" t="s">
        <v>489</v>
      </c>
      <c r="S809" s="94" t="s">
        <v>839</v>
      </c>
      <c r="T809" s="78"/>
      <c r="U809" s="78"/>
      <c r="V809" s="78" t="s">
        <v>2058</v>
      </c>
      <c r="W809" s="78"/>
      <c r="X809" s="78"/>
      <c r="Y809" s="78"/>
      <c r="Z809" s="78">
        <v>97477</v>
      </c>
      <c r="AA809" s="79">
        <v>35818</v>
      </c>
      <c r="AB809" s="78">
        <v>24</v>
      </c>
      <c r="AC809" s="80">
        <v>35951</v>
      </c>
      <c r="AD809" s="75"/>
      <c r="AE809" s="75"/>
      <c r="AF809" s="32"/>
      <c r="AG809" s="32"/>
    </row>
    <row r="810" spans="2:39">
      <c r="B810" s="87"/>
      <c r="C810" s="88"/>
      <c r="D810" s="88"/>
      <c r="E810" s="88"/>
      <c r="F810" s="87"/>
      <c r="G810" s="242"/>
      <c r="H810" s="294"/>
      <c r="I810" s="87"/>
      <c r="J810" s="87"/>
      <c r="K810" s="87"/>
      <c r="L810" s="87"/>
      <c r="M810" s="89"/>
      <c r="N810" s="32"/>
      <c r="O810" s="227"/>
      <c r="P810" s="60"/>
      <c r="Q810" s="90"/>
      <c r="R810" s="90"/>
      <c r="S810" s="90"/>
      <c r="T810" s="36"/>
      <c r="U810" s="36"/>
      <c r="V810" s="36"/>
      <c r="W810" s="36"/>
      <c r="X810" s="36"/>
      <c r="Y810" s="36"/>
      <c r="Z810" s="36"/>
      <c r="AA810" s="74"/>
      <c r="AB810" s="36"/>
      <c r="AC810" s="75"/>
      <c r="AD810" s="75"/>
      <c r="AE810" s="75"/>
      <c r="AF810" s="32"/>
      <c r="AG810" s="32"/>
    </row>
    <row r="811" spans="2:39">
      <c r="B811" s="87"/>
      <c r="C811" s="145" t="s">
        <v>2059</v>
      </c>
      <c r="D811" s="88"/>
      <c r="E811" s="88"/>
      <c r="F811" s="87"/>
      <c r="G811" s="242"/>
      <c r="H811" s="294"/>
      <c r="I811" s="87"/>
      <c r="J811" s="87"/>
      <c r="K811" s="87"/>
      <c r="L811" s="87"/>
      <c r="M811" s="89"/>
      <c r="N811" s="32"/>
      <c r="O811" s="227"/>
      <c r="P811" s="60"/>
      <c r="Q811" s="90"/>
      <c r="R811" s="90"/>
      <c r="S811" s="90"/>
      <c r="T811" s="36"/>
      <c r="U811" s="36"/>
      <c r="V811" s="36"/>
      <c r="W811" s="36"/>
      <c r="X811" s="36"/>
      <c r="Y811" s="36"/>
      <c r="Z811" s="36"/>
      <c r="AA811" s="74"/>
      <c r="AB811" s="36"/>
      <c r="AC811" s="75"/>
      <c r="AD811" s="75"/>
      <c r="AE811" s="75"/>
      <c r="AF811" s="32"/>
      <c r="AG811" s="32"/>
    </row>
    <row r="812" spans="2:39">
      <c r="B812" s="63">
        <v>205</v>
      </c>
      <c r="C812" s="64" t="s">
        <v>2060</v>
      </c>
      <c r="D812" s="64" t="s">
        <v>2061</v>
      </c>
      <c r="E812" s="64"/>
      <c r="F812" s="66">
        <v>426</v>
      </c>
      <c r="G812" s="67" t="s">
        <v>2062</v>
      </c>
      <c r="H812" s="278"/>
      <c r="I812" s="66" t="s">
        <v>244</v>
      </c>
      <c r="J812" s="66" t="s">
        <v>2063</v>
      </c>
      <c r="K812" s="66" t="s">
        <v>244</v>
      </c>
      <c r="L812" s="66" t="s">
        <v>350</v>
      </c>
      <c r="M812" s="93">
        <v>41045.9</v>
      </c>
      <c r="N812" s="32"/>
      <c r="O812" s="94">
        <v>410459</v>
      </c>
      <c r="P812" s="71"/>
      <c r="Q812" s="66"/>
      <c r="R812" s="66" t="s">
        <v>513</v>
      </c>
      <c r="S812" s="66" t="s">
        <v>2064</v>
      </c>
      <c r="T812" s="78"/>
      <c r="U812" s="78"/>
      <c r="V812" s="78"/>
      <c r="W812" s="78"/>
      <c r="X812" s="78"/>
      <c r="Y812" s="78"/>
      <c r="Z812" s="78"/>
      <c r="AA812" s="78"/>
      <c r="AB812" s="78"/>
      <c r="AC812" s="96"/>
      <c r="AD812" s="92"/>
      <c r="AE812" s="92"/>
      <c r="AF812" s="32"/>
      <c r="AG812" s="32"/>
    </row>
    <row r="813" spans="2:39">
      <c r="B813" s="87"/>
      <c r="C813" s="88"/>
      <c r="D813" s="88"/>
      <c r="E813" s="88"/>
      <c r="F813" s="87"/>
      <c r="G813" s="242"/>
      <c r="H813" s="294"/>
      <c r="I813" s="87"/>
      <c r="J813" s="87"/>
      <c r="K813" s="87"/>
      <c r="L813" s="87"/>
      <c r="M813" s="89"/>
      <c r="N813" s="32"/>
      <c r="O813" s="227"/>
      <c r="P813" s="60"/>
      <c r="Q813" s="90"/>
      <c r="R813" s="90"/>
      <c r="S813" s="90"/>
      <c r="T813" s="36"/>
      <c r="U813" s="36"/>
      <c r="V813" s="36"/>
      <c r="W813" s="36"/>
      <c r="X813" s="36"/>
      <c r="Y813" s="36"/>
      <c r="Z813" s="36"/>
      <c r="AA813" s="74"/>
      <c r="AB813" s="36"/>
      <c r="AC813" s="75"/>
      <c r="AD813" s="75"/>
      <c r="AE813" s="75"/>
      <c r="AF813" s="32"/>
      <c r="AG813" s="32"/>
    </row>
    <row r="814" spans="2:39">
      <c r="B814" s="87"/>
      <c r="C814" s="145" t="s">
        <v>2059</v>
      </c>
      <c r="D814" s="88"/>
      <c r="E814" s="88"/>
      <c r="F814" s="87"/>
      <c r="G814" s="242"/>
      <c r="H814" s="294"/>
      <c r="I814" s="87"/>
      <c r="J814" s="87"/>
      <c r="K814" s="87"/>
      <c r="L814" s="87"/>
      <c r="M814" s="89"/>
      <c r="N814" s="32"/>
      <c r="O814" s="227"/>
      <c r="P814" s="60"/>
      <c r="Q814" s="90"/>
      <c r="R814" s="90"/>
      <c r="S814" s="90"/>
      <c r="T814" s="36"/>
      <c r="U814" s="36"/>
      <c r="V814" s="36"/>
      <c r="W814" s="36"/>
      <c r="X814" s="36"/>
      <c r="Y814" s="36"/>
      <c r="Z814" s="36"/>
      <c r="AA814" s="74"/>
      <c r="AB814" s="36"/>
      <c r="AC814" s="75"/>
      <c r="AD814" s="75"/>
      <c r="AE814" s="75"/>
      <c r="AF814" s="32"/>
      <c r="AG814" s="32"/>
    </row>
    <row r="815" spans="2:39">
      <c r="B815" s="63">
        <v>206</v>
      </c>
      <c r="C815" s="64" t="s">
        <v>2065</v>
      </c>
      <c r="D815" s="64" t="s">
        <v>2066</v>
      </c>
      <c r="E815" s="64"/>
      <c r="F815" s="66">
        <v>47</v>
      </c>
      <c r="G815" s="67" t="s">
        <v>2062</v>
      </c>
      <c r="H815" s="278"/>
      <c r="I815" s="66" t="s">
        <v>436</v>
      </c>
      <c r="J815" s="66" t="s">
        <v>2067</v>
      </c>
      <c r="K815" s="66" t="s">
        <v>436</v>
      </c>
      <c r="L815" s="66" t="s">
        <v>259</v>
      </c>
      <c r="M815" s="93">
        <v>5078.3999999999996</v>
      </c>
      <c r="N815" s="32"/>
      <c r="O815" s="94">
        <v>50784</v>
      </c>
      <c r="P815" s="71"/>
      <c r="Q815" s="66"/>
      <c r="R815" s="66" t="s">
        <v>292</v>
      </c>
      <c r="S815" s="66" t="s">
        <v>2068</v>
      </c>
      <c r="T815" s="78"/>
      <c r="U815" s="78"/>
      <c r="V815" s="78"/>
      <c r="W815" s="78"/>
      <c r="X815" s="78"/>
      <c r="Y815" s="78"/>
      <c r="Z815" s="78"/>
      <c r="AA815" s="78"/>
      <c r="AB815" s="78"/>
      <c r="AC815" s="96"/>
      <c r="AD815" s="92"/>
      <c r="AE815" s="92"/>
      <c r="AF815" s="32"/>
      <c r="AG815" s="32"/>
    </row>
    <row r="816" spans="2:39">
      <c r="B816" s="87"/>
      <c r="C816" s="88"/>
      <c r="D816" s="88"/>
      <c r="E816" s="88"/>
      <c r="F816" s="87"/>
      <c r="G816" s="242"/>
      <c r="H816" s="294"/>
      <c r="I816" s="87"/>
      <c r="J816" s="87"/>
      <c r="K816" s="87"/>
      <c r="L816" s="87"/>
      <c r="M816" s="89"/>
      <c r="N816" s="32"/>
      <c r="O816" s="227"/>
      <c r="P816" s="60"/>
      <c r="Q816" s="90"/>
      <c r="R816" s="90"/>
      <c r="S816" s="90"/>
      <c r="T816" s="36"/>
      <c r="U816" s="36"/>
      <c r="V816" s="36"/>
      <c r="W816" s="36"/>
      <c r="X816" s="36"/>
      <c r="Y816" s="36"/>
      <c r="Z816" s="36"/>
      <c r="AA816" s="74"/>
      <c r="AB816" s="36"/>
      <c r="AC816" s="75"/>
      <c r="AD816" s="75"/>
      <c r="AE816" s="75"/>
      <c r="AF816" s="32"/>
      <c r="AG816" s="32"/>
    </row>
    <row r="817" spans="2:33">
      <c r="B817" s="87"/>
      <c r="C817" s="145" t="s">
        <v>2059</v>
      </c>
      <c r="D817" s="88"/>
      <c r="E817" s="88"/>
      <c r="F817" s="87"/>
      <c r="G817" s="242"/>
      <c r="H817" s="294"/>
      <c r="I817" s="87"/>
      <c r="J817" s="87"/>
      <c r="K817" s="87"/>
      <c r="L817" s="87"/>
      <c r="M817" s="89"/>
      <c r="N817" s="32"/>
      <c r="O817" s="227"/>
      <c r="P817" s="60"/>
      <c r="Q817" s="90"/>
      <c r="R817" s="90"/>
      <c r="S817" s="90"/>
      <c r="T817" s="36"/>
      <c r="U817" s="36"/>
      <c r="V817" s="36"/>
      <c r="W817" s="36"/>
      <c r="X817" s="36"/>
      <c r="Y817" s="36"/>
      <c r="Z817" s="36"/>
      <c r="AA817" s="74"/>
      <c r="AB817" s="36"/>
      <c r="AC817" s="75"/>
      <c r="AD817" s="75"/>
      <c r="AE817" s="75"/>
      <c r="AF817" s="32"/>
      <c r="AG817" s="32"/>
    </row>
    <row r="818" spans="2:33">
      <c r="B818" s="63">
        <v>207</v>
      </c>
      <c r="C818" s="64" t="s">
        <v>2069</v>
      </c>
      <c r="D818" s="64" t="s">
        <v>560</v>
      </c>
      <c r="E818" s="64"/>
      <c r="F818" s="66">
        <v>408</v>
      </c>
      <c r="G818" s="67" t="s">
        <v>2062</v>
      </c>
      <c r="H818" s="278"/>
      <c r="I818" s="66" t="s">
        <v>436</v>
      </c>
      <c r="J818" s="66" t="s">
        <v>159</v>
      </c>
      <c r="K818" s="66" t="s">
        <v>436</v>
      </c>
      <c r="L818" s="66" t="s">
        <v>380</v>
      </c>
      <c r="M818" s="93">
        <v>5854.3</v>
      </c>
      <c r="N818" s="32"/>
      <c r="O818" s="94">
        <v>58543</v>
      </c>
      <c r="P818" s="71"/>
      <c r="Q818" s="66"/>
      <c r="R818" s="66" t="s">
        <v>496</v>
      </c>
      <c r="S818" s="66" t="s">
        <v>561</v>
      </c>
      <c r="T818" s="78"/>
      <c r="U818" s="78"/>
      <c r="V818" s="78"/>
      <c r="W818" s="78"/>
      <c r="X818" s="78"/>
      <c r="Y818" s="78"/>
      <c r="Z818" s="78"/>
      <c r="AA818" s="78"/>
      <c r="AB818" s="78"/>
      <c r="AC818" s="96"/>
      <c r="AD818" s="92"/>
      <c r="AE818" s="92"/>
      <c r="AF818" s="32"/>
      <c r="AG818" s="32"/>
    </row>
    <row r="819" spans="2:33">
      <c r="B819" s="87"/>
      <c r="C819" s="88"/>
      <c r="D819" s="88"/>
      <c r="E819" s="88"/>
      <c r="F819" s="56"/>
      <c r="G819" s="242"/>
      <c r="H819" s="294"/>
      <c r="I819" s="56"/>
      <c r="J819" s="56"/>
      <c r="K819" s="56"/>
      <c r="L819" s="56"/>
      <c r="M819" s="58"/>
      <c r="N819" s="32"/>
      <c r="O819" s="90"/>
      <c r="P819" s="60"/>
      <c r="Q819" s="56"/>
      <c r="R819" s="56"/>
      <c r="S819" s="56"/>
      <c r="T819" s="36"/>
      <c r="U819" s="36"/>
      <c r="V819" s="36"/>
      <c r="W819" s="36"/>
      <c r="X819" s="36"/>
      <c r="Y819" s="36"/>
      <c r="Z819" s="36"/>
      <c r="AA819" s="36"/>
      <c r="AB819" s="36"/>
      <c r="AC819" s="92"/>
      <c r="AD819" s="92"/>
      <c r="AE819" s="92"/>
      <c r="AF819" s="32"/>
      <c r="AG819" s="32"/>
    </row>
    <row r="820" spans="2:33">
      <c r="B820" s="87"/>
      <c r="C820" s="145" t="s">
        <v>2059</v>
      </c>
      <c r="D820" s="88"/>
      <c r="E820" s="88"/>
      <c r="F820" s="56"/>
      <c r="G820" s="242"/>
      <c r="H820" s="294"/>
      <c r="I820" s="56"/>
      <c r="J820" s="56"/>
      <c r="K820" s="56"/>
      <c r="L820" s="56"/>
      <c r="M820" s="58"/>
      <c r="N820" s="32"/>
      <c r="O820" s="90"/>
      <c r="P820" s="60"/>
      <c r="Q820" s="56"/>
      <c r="R820" s="56"/>
      <c r="S820" s="56"/>
      <c r="T820" s="36"/>
      <c r="U820" s="36"/>
      <c r="V820" s="36"/>
      <c r="W820" s="36"/>
      <c r="X820" s="36"/>
      <c r="Y820" s="36"/>
      <c r="Z820" s="36"/>
      <c r="AA820" s="36"/>
      <c r="AB820" s="36"/>
      <c r="AC820" s="92"/>
      <c r="AD820" s="92"/>
      <c r="AE820" s="92"/>
      <c r="AF820" s="32"/>
      <c r="AG820" s="32"/>
    </row>
    <row r="821" spans="2:33">
      <c r="B821" s="63">
        <v>208</v>
      </c>
      <c r="C821" s="64" t="s">
        <v>2070</v>
      </c>
      <c r="D821" s="64" t="s">
        <v>2071</v>
      </c>
      <c r="E821" s="64"/>
      <c r="F821" s="63">
        <v>211</v>
      </c>
      <c r="G821" s="67" t="s">
        <v>2062</v>
      </c>
      <c r="H821" s="278"/>
      <c r="I821" s="63" t="s">
        <v>552</v>
      </c>
      <c r="J821" s="63" t="s">
        <v>2072</v>
      </c>
      <c r="K821" s="63" t="s">
        <v>552</v>
      </c>
      <c r="L821" s="63" t="s">
        <v>259</v>
      </c>
      <c r="M821" s="226">
        <v>10099.6</v>
      </c>
      <c r="N821" s="32"/>
      <c r="O821" s="103">
        <v>100996</v>
      </c>
      <c r="P821" s="71"/>
      <c r="Q821" s="66"/>
      <c r="R821" s="66" t="s">
        <v>292</v>
      </c>
      <c r="S821" s="66"/>
      <c r="T821" s="78"/>
      <c r="U821" s="78"/>
      <c r="V821" s="78"/>
      <c r="W821" s="78"/>
      <c r="X821" s="78"/>
      <c r="Y821" s="78"/>
      <c r="Z821" s="78"/>
      <c r="AA821" s="78"/>
      <c r="AB821" s="78"/>
      <c r="AC821" s="96"/>
      <c r="AD821" s="92"/>
      <c r="AE821" s="92"/>
      <c r="AF821" s="32"/>
      <c r="AG821" s="32"/>
    </row>
    <row r="822" spans="2:33">
      <c r="B822" s="87"/>
      <c r="C822" s="88"/>
      <c r="D822" s="88"/>
      <c r="E822" s="88"/>
      <c r="F822" s="56"/>
      <c r="G822" s="242"/>
      <c r="H822" s="294"/>
      <c r="I822" s="56"/>
      <c r="J822" s="56"/>
      <c r="K822" s="56"/>
      <c r="L822" s="56"/>
      <c r="M822" s="58"/>
      <c r="N822" s="32"/>
      <c r="O822" s="90"/>
      <c r="P822" s="60"/>
      <c r="Q822" s="56"/>
      <c r="R822" s="56"/>
      <c r="S822" s="56"/>
      <c r="T822" s="36"/>
      <c r="U822" s="36"/>
      <c r="V822" s="36"/>
      <c r="W822" s="36"/>
      <c r="X822" s="36"/>
      <c r="Y822" s="36"/>
      <c r="Z822" s="36"/>
      <c r="AA822" s="36"/>
      <c r="AB822" s="36"/>
      <c r="AC822" s="92"/>
      <c r="AD822" s="92"/>
      <c r="AE822" s="92"/>
      <c r="AF822" s="32"/>
      <c r="AG822" s="32"/>
    </row>
    <row r="823" spans="2:33">
      <c r="B823" s="87"/>
      <c r="C823" s="145" t="s">
        <v>2073</v>
      </c>
      <c r="D823" s="88"/>
      <c r="E823" s="88"/>
      <c r="F823" s="56"/>
      <c r="G823" s="242"/>
      <c r="H823" s="294"/>
      <c r="I823" s="56"/>
      <c r="J823" s="56"/>
      <c r="K823" s="56"/>
      <c r="L823" s="56"/>
      <c r="M823" s="58"/>
      <c r="N823" s="32"/>
      <c r="O823" s="90"/>
      <c r="P823" s="60"/>
      <c r="Q823" s="56"/>
      <c r="R823" s="56"/>
      <c r="S823" s="56"/>
      <c r="T823" s="36"/>
      <c r="U823" s="36"/>
      <c r="V823" s="36"/>
      <c r="W823" s="36"/>
      <c r="X823" s="36"/>
      <c r="Y823" s="36"/>
      <c r="Z823" s="36"/>
      <c r="AA823" s="36"/>
      <c r="AB823" s="36"/>
      <c r="AC823" s="92"/>
      <c r="AD823" s="92"/>
      <c r="AE823" s="92"/>
      <c r="AF823" s="32"/>
      <c r="AG823" s="32"/>
    </row>
    <row r="824" spans="2:33">
      <c r="B824" s="63">
        <v>209</v>
      </c>
      <c r="C824" s="65" t="s">
        <v>2074</v>
      </c>
      <c r="D824" s="65" t="s">
        <v>2075</v>
      </c>
      <c r="E824" s="65"/>
      <c r="F824" s="66">
        <v>491</v>
      </c>
      <c r="G824" s="67" t="s">
        <v>2062</v>
      </c>
      <c r="H824" s="278"/>
      <c r="I824" s="66" t="s">
        <v>232</v>
      </c>
      <c r="J824" s="66" t="s">
        <v>2076</v>
      </c>
      <c r="K824" s="66" t="s">
        <v>232</v>
      </c>
      <c r="L824" s="66" t="s">
        <v>233</v>
      </c>
      <c r="M824" s="68">
        <v>4814216</v>
      </c>
      <c r="N824" s="32"/>
      <c r="O824" s="69">
        <v>48142160</v>
      </c>
      <c r="P824" s="71">
        <v>48142160</v>
      </c>
      <c r="Q824" s="131"/>
      <c r="R824" s="132" t="s">
        <v>240</v>
      </c>
      <c r="S824" s="132" t="s">
        <v>461</v>
      </c>
      <c r="T824" s="78"/>
      <c r="U824" s="78"/>
      <c r="V824" s="78"/>
      <c r="W824" s="79"/>
      <c r="X824" s="78"/>
      <c r="Y824" s="78"/>
      <c r="Z824" s="78"/>
      <c r="AA824" s="79"/>
      <c r="AB824" s="78"/>
      <c r="AC824" s="80"/>
      <c r="AD824" s="75"/>
      <c r="AE824" s="75"/>
      <c r="AF824" s="32" t="s">
        <v>2077</v>
      </c>
      <c r="AG824" s="32"/>
    </row>
    <row r="825" spans="2:33">
      <c r="B825" s="87"/>
      <c r="C825" s="106"/>
      <c r="D825" s="106"/>
      <c r="E825" s="106"/>
      <c r="F825" s="56"/>
      <c r="G825" s="242"/>
      <c r="H825" s="294"/>
      <c r="I825" s="56"/>
      <c r="J825" s="56"/>
      <c r="K825" s="56"/>
      <c r="L825" s="56"/>
      <c r="M825" s="246"/>
      <c r="N825" s="32"/>
      <c r="O825" s="97"/>
      <c r="P825" s="60"/>
      <c r="Q825" s="72"/>
      <c r="R825" s="73"/>
      <c r="S825" s="73"/>
      <c r="T825" s="36"/>
      <c r="U825" s="36"/>
      <c r="V825" s="36"/>
      <c r="W825" s="74"/>
      <c r="X825" s="36"/>
      <c r="Y825" s="36"/>
      <c r="Z825" s="36"/>
      <c r="AA825" s="74"/>
      <c r="AB825" s="36"/>
      <c r="AC825" s="75"/>
      <c r="AD825" s="75"/>
      <c r="AE825" s="75"/>
      <c r="AF825" s="32"/>
      <c r="AG825" s="32"/>
    </row>
    <row r="826" spans="2:33">
      <c r="B826" s="87"/>
      <c r="C826" s="145" t="s">
        <v>2078</v>
      </c>
      <c r="D826" s="88"/>
      <c r="E826" s="88"/>
      <c r="F826" s="56"/>
      <c r="G826" s="242"/>
      <c r="H826" s="294"/>
      <c r="I826" s="56"/>
      <c r="J826" s="56"/>
      <c r="K826" s="56"/>
      <c r="L826" s="56"/>
      <c r="M826" s="58"/>
      <c r="N826" s="32"/>
      <c r="O826" s="90"/>
      <c r="P826" s="60"/>
      <c r="Q826" s="56"/>
      <c r="R826" s="56"/>
      <c r="S826" s="56"/>
      <c r="T826" s="36"/>
      <c r="U826" s="36"/>
      <c r="V826" s="36"/>
      <c r="W826" s="36"/>
      <c r="X826" s="36"/>
      <c r="Y826" s="36"/>
      <c r="Z826" s="36"/>
      <c r="AA826" s="36"/>
      <c r="AB826" s="36"/>
      <c r="AC826" s="92"/>
      <c r="AD826" s="92"/>
      <c r="AE826" s="92"/>
      <c r="AF826" s="32"/>
      <c r="AG826" s="32"/>
    </row>
    <row r="827" spans="2:33">
      <c r="B827" s="113">
        <v>210</v>
      </c>
      <c r="C827" s="64" t="s">
        <v>2079</v>
      </c>
      <c r="D827" s="64" t="s">
        <v>2080</v>
      </c>
      <c r="E827" s="64"/>
      <c r="F827" s="66">
        <v>258</v>
      </c>
      <c r="G827" s="67" t="s">
        <v>2081</v>
      </c>
      <c r="H827" s="278"/>
      <c r="I827" s="66" t="s">
        <v>436</v>
      </c>
      <c r="J827" s="66" t="s">
        <v>2082</v>
      </c>
      <c r="K827" s="66" t="s">
        <v>436</v>
      </c>
      <c r="L827" s="66" t="s">
        <v>259</v>
      </c>
      <c r="M827" s="93">
        <v>9550.4</v>
      </c>
      <c r="N827" s="32"/>
      <c r="O827" s="94">
        <v>95504</v>
      </c>
      <c r="P827" s="71"/>
      <c r="Q827" s="66"/>
      <c r="R827" s="66" t="s">
        <v>292</v>
      </c>
      <c r="S827" s="66" t="s">
        <v>1788</v>
      </c>
      <c r="T827" s="78"/>
      <c r="U827" s="78"/>
      <c r="V827" s="78"/>
      <c r="W827" s="78"/>
      <c r="X827" s="78"/>
      <c r="Y827" s="78"/>
      <c r="Z827" s="78"/>
      <c r="AA827" s="78"/>
      <c r="AB827" s="78"/>
      <c r="AC827" s="96"/>
      <c r="AD827" s="92"/>
      <c r="AE827" s="92"/>
      <c r="AF827" s="32"/>
      <c r="AG827" s="32"/>
    </row>
    <row r="828" spans="2:33">
      <c r="B828" s="87"/>
      <c r="C828" s="88"/>
      <c r="D828" s="88"/>
      <c r="E828" s="88"/>
      <c r="F828" s="56"/>
      <c r="G828" s="242"/>
      <c r="H828" s="294"/>
      <c r="I828" s="56"/>
      <c r="J828" s="56"/>
      <c r="K828" s="56"/>
      <c r="L828" s="56"/>
      <c r="M828" s="58"/>
      <c r="N828" s="32"/>
      <c r="O828" s="90"/>
      <c r="P828" s="60"/>
      <c r="Q828" s="56"/>
      <c r="R828" s="56"/>
      <c r="S828" s="56"/>
      <c r="T828" s="36"/>
      <c r="U828" s="36"/>
      <c r="V828" s="36"/>
      <c r="W828" s="36"/>
      <c r="X828" s="36"/>
      <c r="Y828" s="36"/>
      <c r="Z828" s="36"/>
      <c r="AA828" s="36"/>
      <c r="AB828" s="36"/>
      <c r="AC828" s="92"/>
      <c r="AD828" s="92"/>
      <c r="AE828" s="92"/>
      <c r="AF828" s="32"/>
      <c r="AG828" s="32"/>
    </row>
    <row r="829" spans="2:33">
      <c r="B829" s="87"/>
      <c r="C829" s="145" t="s">
        <v>2078</v>
      </c>
      <c r="D829" s="88"/>
      <c r="E829" s="88"/>
      <c r="F829" s="56"/>
      <c r="G829" s="242"/>
      <c r="H829" s="294"/>
      <c r="I829" s="56"/>
      <c r="J829" s="56"/>
      <c r="K829" s="56"/>
      <c r="L829" s="56"/>
      <c r="M829" s="58"/>
      <c r="N829" s="32"/>
      <c r="O829" s="90"/>
      <c r="P829" s="60"/>
      <c r="Q829" s="56"/>
      <c r="R829" s="56"/>
      <c r="S829" s="56"/>
      <c r="T829" s="36"/>
      <c r="U829" s="36"/>
      <c r="V829" s="36"/>
      <c r="W829" s="36"/>
      <c r="X829" s="36"/>
      <c r="Y829" s="36"/>
      <c r="Z829" s="36"/>
      <c r="AA829" s="36"/>
      <c r="AB829" s="36"/>
      <c r="AC829" s="92"/>
      <c r="AD829" s="92"/>
      <c r="AE829" s="92"/>
      <c r="AF829" s="32"/>
      <c r="AG829" s="32"/>
    </row>
    <row r="830" spans="2:33">
      <c r="B830" s="113">
        <v>211</v>
      </c>
      <c r="C830" s="64" t="s">
        <v>2083</v>
      </c>
      <c r="D830" s="64" t="s">
        <v>2084</v>
      </c>
      <c r="E830" s="64"/>
      <c r="F830" s="66">
        <v>260</v>
      </c>
      <c r="G830" s="67" t="s">
        <v>2081</v>
      </c>
      <c r="H830" s="278"/>
      <c r="I830" s="66" t="s">
        <v>436</v>
      </c>
      <c r="J830" s="66" t="s">
        <v>2085</v>
      </c>
      <c r="K830" s="66" t="s">
        <v>436</v>
      </c>
      <c r="L830" s="66" t="s">
        <v>259</v>
      </c>
      <c r="M830" s="93">
        <v>6206.6</v>
      </c>
      <c r="N830" s="32"/>
      <c r="O830" s="94">
        <v>62066</v>
      </c>
      <c r="P830" s="71"/>
      <c r="Q830" s="66"/>
      <c r="R830" s="66" t="s">
        <v>496</v>
      </c>
      <c r="S830" s="66" t="s">
        <v>577</v>
      </c>
      <c r="T830" s="78"/>
      <c r="U830" s="78"/>
      <c r="V830" s="78"/>
      <c r="W830" s="78"/>
      <c r="X830" s="78"/>
      <c r="Y830" s="78"/>
      <c r="Z830" s="78"/>
      <c r="AA830" s="78"/>
      <c r="AB830" s="78"/>
      <c r="AC830" s="96"/>
      <c r="AD830" s="92"/>
      <c r="AE830" s="92"/>
      <c r="AF830" s="32"/>
      <c r="AG830" s="32"/>
    </row>
    <row r="831" spans="2:33">
      <c r="B831" s="87"/>
      <c r="C831" s="88"/>
      <c r="D831" s="88"/>
      <c r="E831" s="88"/>
      <c r="F831" s="56"/>
      <c r="G831" s="242"/>
      <c r="H831" s="294"/>
      <c r="I831" s="56"/>
      <c r="J831" s="56"/>
      <c r="K831" s="56"/>
      <c r="L831" s="56"/>
      <c r="M831" s="58"/>
      <c r="N831" s="32"/>
      <c r="O831" s="90"/>
      <c r="P831" s="60"/>
      <c r="Q831" s="56"/>
      <c r="R831" s="56"/>
      <c r="S831" s="56"/>
      <c r="T831" s="36"/>
      <c r="U831" s="36"/>
      <c r="V831" s="36"/>
      <c r="W831" s="36"/>
      <c r="X831" s="36"/>
      <c r="Y831" s="36"/>
      <c r="Z831" s="36"/>
      <c r="AA831" s="36"/>
      <c r="AB831" s="36"/>
      <c r="AC831" s="92"/>
      <c r="AD831" s="92"/>
      <c r="AE831" s="92"/>
      <c r="AF831" s="32"/>
      <c r="AG831" s="32"/>
    </row>
    <row r="832" spans="2:33">
      <c r="B832" s="87"/>
      <c r="C832" s="88"/>
      <c r="D832" s="88"/>
      <c r="E832" s="88"/>
      <c r="F832" s="56"/>
      <c r="G832" s="242"/>
      <c r="H832" s="294"/>
      <c r="I832" s="56"/>
      <c r="J832" s="56"/>
      <c r="K832" s="56"/>
      <c r="L832" s="56"/>
      <c r="M832" s="58"/>
      <c r="N832" s="32"/>
      <c r="O832" s="90"/>
      <c r="P832" s="60"/>
      <c r="Q832" s="56"/>
      <c r="R832" s="56"/>
      <c r="S832" s="56"/>
      <c r="T832" s="36"/>
      <c r="U832" s="36"/>
      <c r="V832" s="36"/>
      <c r="W832" s="36"/>
      <c r="X832" s="36"/>
      <c r="Y832" s="36"/>
      <c r="Z832" s="36"/>
      <c r="AA832" s="36"/>
      <c r="AB832" s="36"/>
      <c r="AC832" s="92"/>
      <c r="AD832" s="92"/>
      <c r="AE832" s="92"/>
      <c r="AF832" s="32"/>
      <c r="AG832" s="32"/>
    </row>
    <row r="833" spans="2:33">
      <c r="B833" s="87"/>
      <c r="C833" s="145" t="s">
        <v>2086</v>
      </c>
      <c r="D833" s="88"/>
      <c r="E833" s="88"/>
      <c r="F833" s="56"/>
      <c r="G833" s="242"/>
      <c r="H833" s="294"/>
      <c r="I833" s="56"/>
      <c r="J833" s="56"/>
      <c r="K833" s="56"/>
      <c r="L833" s="56"/>
      <c r="M833" s="58"/>
      <c r="N833" s="32"/>
      <c r="O833" s="90"/>
      <c r="P833" s="60"/>
      <c r="Q833" s="56"/>
      <c r="R833" s="56"/>
      <c r="S833" s="56"/>
      <c r="T833" s="36"/>
      <c r="U833" s="36"/>
      <c r="V833" s="36"/>
      <c r="W833" s="36"/>
      <c r="X833" s="36"/>
      <c r="Y833" s="36"/>
      <c r="Z833" s="36"/>
      <c r="AA833" s="36"/>
      <c r="AB833" s="36"/>
      <c r="AC833" s="92"/>
      <c r="AD833" s="92"/>
      <c r="AE833" s="92"/>
      <c r="AF833" s="32"/>
      <c r="AG833" s="32"/>
    </row>
    <row r="834" spans="2:33">
      <c r="B834" s="63">
        <v>212</v>
      </c>
      <c r="C834" s="64" t="s">
        <v>2087</v>
      </c>
      <c r="D834" s="64" t="s">
        <v>1322</v>
      </c>
      <c r="E834" s="64"/>
      <c r="F834" s="66">
        <v>12</v>
      </c>
      <c r="G834" s="67" t="s">
        <v>2088</v>
      </c>
      <c r="H834" s="278"/>
      <c r="I834" s="66" t="s">
        <v>232</v>
      </c>
      <c r="J834" s="66" t="s">
        <v>2089</v>
      </c>
      <c r="K834" s="66" t="s">
        <v>232</v>
      </c>
      <c r="L834" s="66" t="s">
        <v>380</v>
      </c>
      <c r="M834" s="93">
        <v>8630.2000000000007</v>
      </c>
      <c r="N834" s="32"/>
      <c r="O834" s="94">
        <v>86302</v>
      </c>
      <c r="P834" s="71"/>
      <c r="Q834" s="66"/>
      <c r="R834" s="66" t="s">
        <v>323</v>
      </c>
      <c r="S834" s="66" t="s">
        <v>2090</v>
      </c>
      <c r="T834" s="78"/>
      <c r="U834" s="78"/>
      <c r="V834" s="78"/>
      <c r="W834" s="78"/>
      <c r="X834" s="78"/>
      <c r="Y834" s="78"/>
      <c r="Z834" s="78"/>
      <c r="AA834" s="78"/>
      <c r="AB834" s="78"/>
      <c r="AC834" s="96"/>
      <c r="AD834" s="92"/>
      <c r="AE834" s="92"/>
      <c r="AF834" s="32"/>
      <c r="AG834" s="32"/>
    </row>
    <row r="835" spans="2:33">
      <c r="B835" s="63">
        <v>213</v>
      </c>
      <c r="C835" s="64" t="s">
        <v>2091</v>
      </c>
      <c r="D835" s="64" t="s">
        <v>2092</v>
      </c>
      <c r="E835" s="64"/>
      <c r="F835" s="66">
        <v>60</v>
      </c>
      <c r="G835" s="67" t="s">
        <v>2088</v>
      </c>
      <c r="H835" s="278"/>
      <c r="I835" s="66" t="s">
        <v>422</v>
      </c>
      <c r="J835" s="66" t="s">
        <v>2093</v>
      </c>
      <c r="K835" s="66" t="s">
        <v>422</v>
      </c>
      <c r="L835" s="66" t="s">
        <v>380</v>
      </c>
      <c r="M835" s="93">
        <v>10779.7</v>
      </c>
      <c r="N835" s="32"/>
      <c r="O835" s="94">
        <v>107797</v>
      </c>
      <c r="P835" s="71"/>
      <c r="Q835" s="66"/>
      <c r="R835" s="66" t="s">
        <v>423</v>
      </c>
      <c r="S835" s="66" t="s">
        <v>766</v>
      </c>
      <c r="T835" s="78"/>
      <c r="U835" s="78"/>
      <c r="V835" s="78"/>
      <c r="W835" s="78"/>
      <c r="X835" s="78"/>
      <c r="Y835" s="78"/>
      <c r="Z835" s="78"/>
      <c r="AA835" s="78"/>
      <c r="AB835" s="78"/>
      <c r="AC835" s="96"/>
      <c r="AD835" s="92"/>
      <c r="AE835" s="92"/>
      <c r="AF835" s="32"/>
      <c r="AG835" s="32"/>
    </row>
    <row r="836" spans="2:33">
      <c r="B836" s="63">
        <v>214</v>
      </c>
      <c r="C836" s="247" t="s">
        <v>2094</v>
      </c>
      <c r="D836" s="64" t="s">
        <v>2095</v>
      </c>
      <c r="E836" s="64"/>
      <c r="F836" s="66">
        <v>62</v>
      </c>
      <c r="G836" s="67" t="s">
        <v>2088</v>
      </c>
      <c r="H836" s="278"/>
      <c r="I836" s="66" t="s">
        <v>708</v>
      </c>
      <c r="J836" s="66" t="s">
        <v>2096</v>
      </c>
      <c r="K836" s="66" t="s">
        <v>708</v>
      </c>
      <c r="L836" s="66" t="s">
        <v>259</v>
      </c>
      <c r="M836" s="93">
        <v>8759</v>
      </c>
      <c r="N836" s="32"/>
      <c r="O836" s="94">
        <v>87590</v>
      </c>
      <c r="P836" s="71"/>
      <c r="Q836" s="94"/>
      <c r="R836" s="94" t="s">
        <v>292</v>
      </c>
      <c r="S836" s="94"/>
      <c r="T836" s="78"/>
      <c r="U836" s="78"/>
      <c r="V836" s="78"/>
      <c r="W836" s="78"/>
      <c r="X836" s="78"/>
      <c r="Y836" s="78"/>
      <c r="Z836" s="78">
        <v>44670</v>
      </c>
      <c r="AA836" s="79">
        <v>36070</v>
      </c>
      <c r="AB836" s="78">
        <v>659</v>
      </c>
      <c r="AC836" s="80">
        <v>36074</v>
      </c>
      <c r="AD836" s="75"/>
      <c r="AE836" s="75"/>
      <c r="AF836" s="32"/>
      <c r="AG836" s="32"/>
    </row>
    <row r="837" spans="2:33">
      <c r="B837" s="63">
        <v>215</v>
      </c>
      <c r="C837" s="64" t="s">
        <v>2097</v>
      </c>
      <c r="D837" s="64" t="s">
        <v>2098</v>
      </c>
      <c r="E837" s="64"/>
      <c r="F837" s="66">
        <v>76</v>
      </c>
      <c r="G837" s="67" t="s">
        <v>2088</v>
      </c>
      <c r="H837" s="278"/>
      <c r="I837" s="66" t="s">
        <v>232</v>
      </c>
      <c r="J837" s="66" t="s">
        <v>2099</v>
      </c>
      <c r="K837" s="66" t="s">
        <v>232</v>
      </c>
      <c r="L837" s="66" t="s">
        <v>233</v>
      </c>
      <c r="M837" s="93">
        <v>9325.4</v>
      </c>
      <c r="N837" s="32"/>
      <c r="O837" s="94">
        <v>93254</v>
      </c>
      <c r="P837" s="71"/>
      <c r="Q837" s="94"/>
      <c r="R837" s="94" t="s">
        <v>292</v>
      </c>
      <c r="S837" s="94" t="s">
        <v>899</v>
      </c>
      <c r="T837" s="78"/>
      <c r="U837" s="78"/>
      <c r="V837" s="78"/>
      <c r="W837" s="78"/>
      <c r="X837" s="78"/>
      <c r="Y837" s="78"/>
      <c r="Z837" s="78">
        <v>13988</v>
      </c>
      <c r="AA837" s="79">
        <v>36132</v>
      </c>
      <c r="AB837" s="78">
        <v>851</v>
      </c>
      <c r="AC837" s="80">
        <v>36221</v>
      </c>
      <c r="AD837" s="75"/>
      <c r="AE837" s="75"/>
      <c r="AF837" s="32"/>
      <c r="AG837" s="32"/>
    </row>
    <row r="838" spans="2:33">
      <c r="B838" s="63">
        <v>216</v>
      </c>
      <c r="C838" s="64" t="s">
        <v>2100</v>
      </c>
      <c r="D838" s="64" t="s">
        <v>2101</v>
      </c>
      <c r="E838" s="64"/>
      <c r="F838" s="63">
        <v>83</v>
      </c>
      <c r="G838" s="67" t="s">
        <v>2088</v>
      </c>
      <c r="H838" s="278"/>
      <c r="I838" s="63" t="s">
        <v>232</v>
      </c>
      <c r="J838" s="63" t="s">
        <v>2102</v>
      </c>
      <c r="K838" s="63" t="s">
        <v>232</v>
      </c>
      <c r="L838" s="63" t="s">
        <v>380</v>
      </c>
      <c r="M838" s="226">
        <v>9146.9</v>
      </c>
      <c r="N838" s="32"/>
      <c r="O838" s="103">
        <v>91469</v>
      </c>
      <c r="P838" s="248" t="s">
        <v>618</v>
      </c>
      <c r="Q838" s="249"/>
      <c r="R838" s="66" t="s">
        <v>323</v>
      </c>
      <c r="S838" s="66" t="s">
        <v>2103</v>
      </c>
      <c r="T838" s="78"/>
      <c r="U838" s="78"/>
      <c r="V838" s="78"/>
      <c r="W838" s="78"/>
      <c r="X838" s="78"/>
      <c r="Y838" s="78"/>
      <c r="Z838" s="78"/>
      <c r="AA838" s="78"/>
      <c r="AB838" s="78"/>
      <c r="AC838" s="96"/>
      <c r="AD838" s="92"/>
      <c r="AE838" s="92"/>
      <c r="AF838" s="32"/>
      <c r="AG838" s="32"/>
    </row>
    <row r="839" spans="2:33">
      <c r="B839" s="63">
        <v>217</v>
      </c>
      <c r="C839" s="64" t="s">
        <v>2104</v>
      </c>
      <c r="D839" s="64" t="s">
        <v>2105</v>
      </c>
      <c r="E839" s="64"/>
      <c r="F839" s="66">
        <v>91</v>
      </c>
      <c r="G839" s="67" t="s">
        <v>2088</v>
      </c>
      <c r="H839" s="278"/>
      <c r="I839" s="66" t="s">
        <v>304</v>
      </c>
      <c r="J839" s="66" t="s">
        <v>2106</v>
      </c>
      <c r="K839" s="66" t="s">
        <v>304</v>
      </c>
      <c r="L839" s="66" t="s">
        <v>259</v>
      </c>
      <c r="M839" s="93">
        <v>5032.8</v>
      </c>
      <c r="N839" s="32"/>
      <c r="O839" s="94">
        <v>50328</v>
      </c>
      <c r="P839" s="71"/>
      <c r="Q839" s="66"/>
      <c r="R839" s="66" t="s">
        <v>306</v>
      </c>
      <c r="S839" s="66" t="s">
        <v>2107</v>
      </c>
      <c r="T839" s="78"/>
      <c r="U839" s="78"/>
      <c r="V839" s="78"/>
      <c r="W839" s="78"/>
      <c r="X839" s="78"/>
      <c r="Y839" s="78"/>
      <c r="Z839" s="78"/>
      <c r="AA839" s="78"/>
      <c r="AB839" s="78"/>
      <c r="AC839" s="96"/>
      <c r="AD839" s="92"/>
      <c r="AE839" s="92"/>
      <c r="AF839" s="32"/>
      <c r="AG839" s="162"/>
    </row>
    <row r="840" spans="2:33">
      <c r="B840" s="63">
        <v>218</v>
      </c>
      <c r="C840" s="64" t="s">
        <v>2108</v>
      </c>
      <c r="D840" s="64" t="s">
        <v>2109</v>
      </c>
      <c r="E840" s="64"/>
      <c r="F840" s="66">
        <v>93</v>
      </c>
      <c r="G840" s="67" t="s">
        <v>2088</v>
      </c>
      <c r="H840" s="278"/>
      <c r="I840" s="66" t="s">
        <v>333</v>
      </c>
      <c r="J840" s="66" t="s">
        <v>2110</v>
      </c>
      <c r="K840" s="66" t="s">
        <v>333</v>
      </c>
      <c r="L840" s="66" t="s">
        <v>380</v>
      </c>
      <c r="M840" s="93">
        <v>17728.8</v>
      </c>
      <c r="N840" s="32"/>
      <c r="O840" s="94">
        <v>177288</v>
      </c>
      <c r="P840" s="71"/>
      <c r="Q840" s="66"/>
      <c r="R840" s="66" t="s">
        <v>334</v>
      </c>
      <c r="S840" s="66" t="s">
        <v>356</v>
      </c>
      <c r="T840" s="78"/>
      <c r="U840" s="78"/>
      <c r="V840" s="78"/>
      <c r="W840" s="78"/>
      <c r="X840" s="78"/>
      <c r="Y840" s="78"/>
      <c r="Z840" s="78"/>
      <c r="AA840" s="79"/>
      <c r="AB840" s="78"/>
      <c r="AC840" s="80"/>
      <c r="AD840" s="75"/>
      <c r="AE840" s="75"/>
      <c r="AF840" s="32"/>
      <c r="AG840" s="32"/>
    </row>
    <row r="841" spans="2:33">
      <c r="B841" s="63">
        <v>219</v>
      </c>
      <c r="C841" s="64" t="s">
        <v>2111</v>
      </c>
      <c r="D841" s="64" t="s">
        <v>2112</v>
      </c>
      <c r="E841" s="64"/>
      <c r="F841" s="66">
        <v>134</v>
      </c>
      <c r="G841" s="67" t="s">
        <v>2088</v>
      </c>
      <c r="H841" s="278"/>
      <c r="I841" s="66" t="s">
        <v>436</v>
      </c>
      <c r="J841" s="66" t="s">
        <v>2113</v>
      </c>
      <c r="K841" s="66" t="s">
        <v>436</v>
      </c>
      <c r="L841" s="66" t="s">
        <v>350</v>
      </c>
      <c r="M841" s="93">
        <v>78745</v>
      </c>
      <c r="N841" s="32"/>
      <c r="O841" s="94">
        <v>787450</v>
      </c>
      <c r="P841" s="71"/>
      <c r="Q841" s="94"/>
      <c r="R841" s="94" t="s">
        <v>496</v>
      </c>
      <c r="S841" s="94" t="s">
        <v>2114</v>
      </c>
      <c r="T841" s="78"/>
      <c r="U841" s="78"/>
      <c r="V841" s="78"/>
      <c r="W841" s="78"/>
      <c r="X841" s="78"/>
      <c r="Y841" s="78"/>
      <c r="Z841" s="78"/>
      <c r="AA841" s="78"/>
      <c r="AB841" s="78"/>
      <c r="AC841" s="96"/>
      <c r="AD841" s="92"/>
      <c r="AE841" s="92"/>
      <c r="AF841" s="32"/>
      <c r="AG841" s="32"/>
    </row>
    <row r="842" spans="2:33">
      <c r="B842" s="63">
        <v>220</v>
      </c>
      <c r="C842" s="64" t="s">
        <v>2115</v>
      </c>
      <c r="D842" s="64" t="s">
        <v>2116</v>
      </c>
      <c r="E842" s="64"/>
      <c r="F842" s="66">
        <v>163</v>
      </c>
      <c r="G842" s="67" t="s">
        <v>2088</v>
      </c>
      <c r="H842" s="278"/>
      <c r="I842" s="66" t="s">
        <v>422</v>
      </c>
      <c r="J842" s="66" t="s">
        <v>2117</v>
      </c>
      <c r="K842" s="66" t="s">
        <v>422</v>
      </c>
      <c r="L842" s="66" t="s">
        <v>380</v>
      </c>
      <c r="M842" s="93">
        <v>8683.7999999999993</v>
      </c>
      <c r="N842" s="32"/>
      <c r="O842" s="94">
        <v>86838</v>
      </c>
      <c r="P842" s="71"/>
      <c r="Q842" s="94"/>
      <c r="R842" s="94" t="s">
        <v>423</v>
      </c>
      <c r="S842" s="94" t="s">
        <v>557</v>
      </c>
      <c r="T842" s="78">
        <v>72039.8</v>
      </c>
      <c r="U842" s="78"/>
      <c r="V842" s="78"/>
      <c r="W842" s="78"/>
      <c r="X842" s="78"/>
      <c r="Y842" s="78"/>
      <c r="Z842" s="78"/>
      <c r="AA842" s="78"/>
      <c r="AB842" s="78"/>
      <c r="AC842" s="96"/>
      <c r="AD842" s="92"/>
      <c r="AE842" s="92"/>
      <c r="AF842" s="32"/>
      <c r="AG842" s="32"/>
    </row>
    <row r="843" spans="2:33">
      <c r="B843" s="63">
        <v>221</v>
      </c>
      <c r="C843" s="64" t="s">
        <v>2118</v>
      </c>
      <c r="D843" s="64" t="s">
        <v>2119</v>
      </c>
      <c r="E843" s="64"/>
      <c r="F843" s="66">
        <v>170</v>
      </c>
      <c r="G843" s="67" t="s">
        <v>2088</v>
      </c>
      <c r="H843" s="278"/>
      <c r="I843" s="66" t="s">
        <v>296</v>
      </c>
      <c r="J843" s="66" t="s">
        <v>2120</v>
      </c>
      <c r="K843" s="66" t="s">
        <v>296</v>
      </c>
      <c r="L843" s="66" t="s">
        <v>245</v>
      </c>
      <c r="M843" s="93">
        <v>7530.4</v>
      </c>
      <c r="N843" s="32"/>
      <c r="O843" s="94">
        <v>75304</v>
      </c>
      <c r="P843" s="71"/>
      <c r="Q843" s="66"/>
      <c r="R843" s="66" t="s">
        <v>297</v>
      </c>
      <c r="S843" s="66" t="s">
        <v>2121</v>
      </c>
      <c r="T843" s="78">
        <v>97773.2</v>
      </c>
      <c r="U843" s="78"/>
      <c r="V843" s="78"/>
      <c r="W843" s="78"/>
      <c r="X843" s="78"/>
      <c r="Y843" s="78"/>
      <c r="Z843" s="78"/>
      <c r="AA843" s="78"/>
      <c r="AB843" s="78"/>
      <c r="AC843" s="96"/>
      <c r="AD843" s="92"/>
      <c r="AE843" s="92"/>
      <c r="AF843" s="32"/>
      <c r="AG843" s="32"/>
    </row>
    <row r="844" spans="2:33">
      <c r="B844" s="63">
        <v>222</v>
      </c>
      <c r="C844" s="64" t="s">
        <v>2122</v>
      </c>
      <c r="D844" s="64" t="s">
        <v>2123</v>
      </c>
      <c r="E844" s="64"/>
      <c r="F844" s="66">
        <v>172</v>
      </c>
      <c r="G844" s="67" t="s">
        <v>2088</v>
      </c>
      <c r="H844" s="278"/>
      <c r="I844" s="66" t="s">
        <v>422</v>
      </c>
      <c r="J844" s="66" t="s">
        <v>2124</v>
      </c>
      <c r="K844" s="66" t="s">
        <v>422</v>
      </c>
      <c r="L844" s="66" t="s">
        <v>380</v>
      </c>
      <c r="M844" s="93">
        <v>33748.5</v>
      </c>
      <c r="N844" s="32"/>
      <c r="O844" s="94">
        <v>337013</v>
      </c>
      <c r="P844" s="71"/>
      <c r="Q844" s="94"/>
      <c r="R844" s="94" t="s">
        <v>423</v>
      </c>
      <c r="S844" s="94" t="s">
        <v>2125</v>
      </c>
      <c r="T844" s="78"/>
      <c r="U844" s="78"/>
      <c r="V844" s="78"/>
      <c r="W844" s="78"/>
      <c r="X844" s="78"/>
      <c r="Y844" s="78"/>
      <c r="Z844" s="78"/>
      <c r="AA844" s="78"/>
      <c r="AB844" s="95"/>
      <c r="AC844" s="96"/>
      <c r="AD844" s="92"/>
      <c r="AE844" s="92"/>
      <c r="AF844" s="32"/>
      <c r="AG844" s="32"/>
    </row>
    <row r="845" spans="2:33">
      <c r="B845" s="63">
        <v>223</v>
      </c>
      <c r="C845" s="64" t="s">
        <v>2126</v>
      </c>
      <c r="D845" s="64" t="s">
        <v>2127</v>
      </c>
      <c r="E845" s="64"/>
      <c r="F845" s="66">
        <v>174</v>
      </c>
      <c r="G845" s="67" t="s">
        <v>2088</v>
      </c>
      <c r="H845" s="278"/>
      <c r="I845" s="66" t="s">
        <v>296</v>
      </c>
      <c r="J845" s="66" t="s">
        <v>2128</v>
      </c>
      <c r="K845" s="66" t="s">
        <v>296</v>
      </c>
      <c r="L845" s="66" t="s">
        <v>233</v>
      </c>
      <c r="M845" s="93">
        <v>5911.2</v>
      </c>
      <c r="N845" s="32"/>
      <c r="O845" s="94">
        <v>59112</v>
      </c>
      <c r="P845" s="71"/>
      <c r="Q845" s="66"/>
      <c r="R845" s="66" t="s">
        <v>297</v>
      </c>
      <c r="S845" s="66" t="s">
        <v>621</v>
      </c>
      <c r="T845" s="78"/>
      <c r="U845" s="78"/>
      <c r="V845" s="78"/>
      <c r="W845" s="78"/>
      <c r="X845" s="78"/>
      <c r="Y845" s="78"/>
      <c r="Z845" s="78"/>
      <c r="AA845" s="78"/>
      <c r="AB845" s="78"/>
      <c r="AC845" s="96"/>
      <c r="AD845" s="92"/>
      <c r="AE845" s="92"/>
      <c r="AF845" s="32"/>
      <c r="AG845" s="32"/>
    </row>
    <row r="846" spans="2:33">
      <c r="B846" s="63">
        <v>224</v>
      </c>
      <c r="C846" s="64" t="s">
        <v>2129</v>
      </c>
      <c r="D846" s="64" t="s">
        <v>2130</v>
      </c>
      <c r="E846" s="64"/>
      <c r="F846" s="66">
        <v>180</v>
      </c>
      <c r="G846" s="67" t="s">
        <v>2088</v>
      </c>
      <c r="H846" s="278"/>
      <c r="I846" s="66" t="s">
        <v>296</v>
      </c>
      <c r="J846" s="66" t="s">
        <v>2131</v>
      </c>
      <c r="K846" s="66" t="s">
        <v>296</v>
      </c>
      <c r="L846" s="66" t="s">
        <v>233</v>
      </c>
      <c r="M846" s="93">
        <v>8892.2000000000007</v>
      </c>
      <c r="N846" s="32"/>
      <c r="O846" s="94">
        <v>88922</v>
      </c>
      <c r="P846" s="71"/>
      <c r="Q846" s="66"/>
      <c r="R846" s="66" t="s">
        <v>297</v>
      </c>
      <c r="S846" s="66"/>
      <c r="T846" s="78"/>
      <c r="U846" s="78"/>
      <c r="V846" s="78"/>
      <c r="W846" s="78"/>
      <c r="X846" s="78"/>
      <c r="Y846" s="78"/>
      <c r="Z846" s="78"/>
      <c r="AA846" s="78"/>
      <c r="AB846" s="78"/>
      <c r="AC846" s="96"/>
      <c r="AD846" s="92"/>
      <c r="AE846" s="92"/>
      <c r="AF846" s="32"/>
      <c r="AG846" s="32"/>
    </row>
    <row r="847" spans="2:33">
      <c r="B847" s="63">
        <v>225</v>
      </c>
      <c r="C847" s="64" t="s">
        <v>2132</v>
      </c>
      <c r="D847" s="64" t="s">
        <v>2133</v>
      </c>
      <c r="E847" s="64"/>
      <c r="F847" s="66">
        <v>183</v>
      </c>
      <c r="G847" s="67" t="s">
        <v>2088</v>
      </c>
      <c r="H847" s="278"/>
      <c r="I847" s="66" t="s">
        <v>422</v>
      </c>
      <c r="J847" s="66" t="s">
        <v>1618</v>
      </c>
      <c r="K847" s="66" t="s">
        <v>422</v>
      </c>
      <c r="L847" s="66" t="s">
        <v>380</v>
      </c>
      <c r="M847" s="93">
        <v>18168.3</v>
      </c>
      <c r="N847" s="32"/>
      <c r="O847" s="94">
        <v>181683</v>
      </c>
      <c r="P847" s="71">
        <v>109009</v>
      </c>
      <c r="Q847" s="94"/>
      <c r="R847" s="94" t="s">
        <v>423</v>
      </c>
      <c r="S847" s="94"/>
      <c r="T847" s="78"/>
      <c r="U847" s="78"/>
      <c r="V847" s="78"/>
      <c r="W847" s="78"/>
      <c r="X847" s="78"/>
      <c r="Y847" s="78"/>
      <c r="Z847" s="78"/>
      <c r="AA847" s="78"/>
      <c r="AB847" s="95"/>
      <c r="AC847" s="96"/>
      <c r="AD847" s="97"/>
      <c r="AE847" s="92"/>
      <c r="AF847" s="32"/>
      <c r="AG847" s="32"/>
    </row>
    <row r="848" spans="2:33">
      <c r="B848" s="63">
        <v>226</v>
      </c>
      <c r="C848" s="64" t="s">
        <v>2134</v>
      </c>
      <c r="D848" s="64" t="s">
        <v>2135</v>
      </c>
      <c r="E848" s="64"/>
      <c r="F848" s="66">
        <v>184</v>
      </c>
      <c r="G848" s="67" t="s">
        <v>2088</v>
      </c>
      <c r="H848" s="278"/>
      <c r="I848" s="66" t="s">
        <v>422</v>
      </c>
      <c r="J848" s="66" t="s">
        <v>2136</v>
      </c>
      <c r="K848" s="66" t="s">
        <v>422</v>
      </c>
      <c r="L848" s="66" t="s">
        <v>380</v>
      </c>
      <c r="M848" s="93">
        <v>11441.9</v>
      </c>
      <c r="N848" s="32"/>
      <c r="O848" s="94">
        <v>114419</v>
      </c>
      <c r="P848" s="71"/>
      <c r="Q848" s="94"/>
      <c r="R848" s="94" t="s">
        <v>423</v>
      </c>
      <c r="S848" s="94"/>
      <c r="T848" s="78"/>
      <c r="U848" s="78"/>
      <c r="V848" s="78"/>
      <c r="W848" s="78"/>
      <c r="X848" s="78"/>
      <c r="Y848" s="78"/>
      <c r="Z848" s="78"/>
      <c r="AA848" s="78"/>
      <c r="AB848" s="95"/>
      <c r="AC848" s="96"/>
      <c r="AD848" s="92"/>
      <c r="AE848" s="92"/>
      <c r="AF848" s="32" t="s">
        <v>2137</v>
      </c>
      <c r="AG848" s="32"/>
    </row>
    <row r="849" spans="2:34">
      <c r="B849" s="63">
        <v>227</v>
      </c>
      <c r="C849" s="64" t="s">
        <v>2138</v>
      </c>
      <c r="D849" s="64" t="s">
        <v>2139</v>
      </c>
      <c r="E849" s="64"/>
      <c r="F849" s="66">
        <v>189</v>
      </c>
      <c r="G849" s="67" t="s">
        <v>2088</v>
      </c>
      <c r="H849" s="278"/>
      <c r="I849" s="66" t="s">
        <v>688</v>
      </c>
      <c r="J849" s="66" t="s">
        <v>2140</v>
      </c>
      <c r="K849" s="66" t="s">
        <v>688</v>
      </c>
      <c r="L849" s="66" t="s">
        <v>233</v>
      </c>
      <c r="M849" s="93">
        <v>7000</v>
      </c>
      <c r="N849" s="32"/>
      <c r="O849" s="94">
        <v>70000</v>
      </c>
      <c r="P849" s="71"/>
      <c r="Q849" s="66"/>
      <c r="R849" s="66" t="s">
        <v>689</v>
      </c>
      <c r="S849" s="66" t="s">
        <v>2141</v>
      </c>
      <c r="T849" s="78">
        <v>54704.3</v>
      </c>
      <c r="U849" s="78"/>
      <c r="V849" s="78"/>
      <c r="W849" s="78"/>
      <c r="X849" s="78"/>
      <c r="Y849" s="78"/>
      <c r="Z849" s="78"/>
      <c r="AA849" s="78"/>
      <c r="AB849" s="78"/>
      <c r="AC849" s="96"/>
      <c r="AD849" s="92"/>
      <c r="AE849" s="92" t="s">
        <v>655</v>
      </c>
      <c r="AF849" s="32"/>
      <c r="AG849" s="32"/>
    </row>
    <row r="850" spans="2:34">
      <c r="B850" s="63">
        <v>228</v>
      </c>
      <c r="C850" s="64" t="s">
        <v>2142</v>
      </c>
      <c r="D850" s="64" t="s">
        <v>2143</v>
      </c>
      <c r="E850" s="64"/>
      <c r="F850" s="66">
        <v>194</v>
      </c>
      <c r="G850" s="67" t="s">
        <v>2088</v>
      </c>
      <c r="H850" s="278"/>
      <c r="I850" s="66" t="s">
        <v>304</v>
      </c>
      <c r="J850" s="66" t="s">
        <v>2144</v>
      </c>
      <c r="K850" s="66" t="s">
        <v>304</v>
      </c>
      <c r="L850" s="66" t="s">
        <v>259</v>
      </c>
      <c r="M850" s="93">
        <v>7205.3</v>
      </c>
      <c r="N850" s="32"/>
      <c r="O850" s="94">
        <v>72053</v>
      </c>
      <c r="P850" s="71"/>
      <c r="Q850" s="94"/>
      <c r="R850" s="94" t="s">
        <v>306</v>
      </c>
      <c r="S850" s="94" t="s">
        <v>577</v>
      </c>
      <c r="T850" s="78"/>
      <c r="U850" s="78"/>
      <c r="V850" s="78"/>
      <c r="W850" s="78"/>
      <c r="X850" s="78"/>
      <c r="Y850" s="78"/>
      <c r="Z850" s="78">
        <v>36747</v>
      </c>
      <c r="AA850" s="79">
        <v>35824</v>
      </c>
      <c r="AB850" s="78">
        <v>38</v>
      </c>
      <c r="AC850" s="80">
        <v>35919</v>
      </c>
      <c r="AD850" s="75"/>
      <c r="AE850" s="75"/>
      <c r="AF850" s="32"/>
      <c r="AG850" s="32"/>
    </row>
    <row r="851" spans="2:34">
      <c r="B851" s="63">
        <v>229</v>
      </c>
      <c r="C851" s="64" t="s">
        <v>2145</v>
      </c>
      <c r="D851" s="64" t="s">
        <v>2146</v>
      </c>
      <c r="E851" s="64"/>
      <c r="F851" s="66">
        <v>197</v>
      </c>
      <c r="G851" s="67" t="s">
        <v>2088</v>
      </c>
      <c r="H851" s="278"/>
      <c r="I851" s="66" t="s">
        <v>688</v>
      </c>
      <c r="J851" s="66" t="s">
        <v>2147</v>
      </c>
      <c r="K851" s="66" t="s">
        <v>688</v>
      </c>
      <c r="L851" s="66" t="s">
        <v>245</v>
      </c>
      <c r="M851" s="93">
        <v>18709</v>
      </c>
      <c r="N851" s="32"/>
      <c r="O851" s="94">
        <v>187090</v>
      </c>
      <c r="P851" s="71"/>
      <c r="Q851" s="94"/>
      <c r="R851" s="94" t="s">
        <v>689</v>
      </c>
      <c r="S851" s="94" t="s">
        <v>1063</v>
      </c>
      <c r="T851" s="78"/>
      <c r="U851" s="78"/>
      <c r="V851" s="78"/>
      <c r="W851" s="78"/>
      <c r="X851" s="78"/>
      <c r="Y851" s="78"/>
      <c r="Z851" s="78">
        <v>95415</v>
      </c>
      <c r="AA851" s="79">
        <v>35961</v>
      </c>
      <c r="AB851" s="78">
        <v>457</v>
      </c>
      <c r="AC851" s="80">
        <v>35997</v>
      </c>
      <c r="AD851" s="75"/>
      <c r="AE851" s="75" t="s">
        <v>2148</v>
      </c>
      <c r="AF851" s="32"/>
      <c r="AG851" s="32"/>
    </row>
    <row r="852" spans="2:34">
      <c r="B852" s="63">
        <v>230</v>
      </c>
      <c r="C852" s="64" t="s">
        <v>2149</v>
      </c>
      <c r="D852" s="64" t="s">
        <v>2150</v>
      </c>
      <c r="E852" s="64"/>
      <c r="F852" s="66">
        <v>215</v>
      </c>
      <c r="G852" s="67" t="s">
        <v>2088</v>
      </c>
      <c r="H852" s="278"/>
      <c r="I852" s="66" t="s">
        <v>453</v>
      </c>
      <c r="J852" s="66" t="s">
        <v>2151</v>
      </c>
      <c r="K852" s="66" t="s">
        <v>453</v>
      </c>
      <c r="L852" s="66" t="s">
        <v>380</v>
      </c>
      <c r="M852" s="93">
        <v>6628.9</v>
      </c>
      <c r="N852" s="32"/>
      <c r="O852" s="94">
        <v>66289</v>
      </c>
      <c r="P852" s="71"/>
      <c r="Q852" s="66"/>
      <c r="R852" s="66" t="s">
        <v>454</v>
      </c>
      <c r="S852" s="66" t="s">
        <v>2152</v>
      </c>
      <c r="T852" s="78"/>
      <c r="U852" s="78"/>
      <c r="V852" s="78"/>
      <c r="W852" s="78"/>
      <c r="X852" s="78"/>
      <c r="Y852" s="78"/>
      <c r="Z852" s="78"/>
      <c r="AA852" s="78"/>
      <c r="AB852" s="78"/>
      <c r="AC852" s="96"/>
      <c r="AD852" s="92"/>
      <c r="AE852" s="92"/>
      <c r="AF852" s="32"/>
      <c r="AG852" s="32"/>
    </row>
    <row r="853" spans="2:34">
      <c r="B853" s="63">
        <v>231</v>
      </c>
      <c r="C853" s="64" t="s">
        <v>2153</v>
      </c>
      <c r="D853" s="64" t="s">
        <v>2154</v>
      </c>
      <c r="E853" s="64"/>
      <c r="F853" s="66">
        <v>222</v>
      </c>
      <c r="G853" s="67" t="s">
        <v>2088</v>
      </c>
      <c r="H853" s="278"/>
      <c r="I853" s="66" t="s">
        <v>688</v>
      </c>
      <c r="J853" s="66" t="s">
        <v>2155</v>
      </c>
      <c r="K853" s="66" t="s">
        <v>688</v>
      </c>
      <c r="L853" s="66" t="s">
        <v>259</v>
      </c>
      <c r="M853" s="93">
        <v>13973.4</v>
      </c>
      <c r="N853" s="32"/>
      <c r="O853" s="94">
        <v>139734</v>
      </c>
      <c r="P853" s="71"/>
      <c r="Q853" s="66"/>
      <c r="R853" s="66" t="s">
        <v>292</v>
      </c>
      <c r="S853" s="66" t="s">
        <v>1411</v>
      </c>
      <c r="T853" s="78"/>
      <c r="U853" s="78"/>
      <c r="V853" s="78"/>
      <c r="W853" s="78"/>
      <c r="X853" s="78"/>
      <c r="Y853" s="78"/>
      <c r="Z853" s="78"/>
      <c r="AA853" s="78"/>
      <c r="AB853" s="78"/>
      <c r="AC853" s="96"/>
      <c r="AD853" s="92"/>
      <c r="AE853" s="92"/>
      <c r="AF853" s="32" t="s">
        <v>2156</v>
      </c>
      <c r="AG853" s="32"/>
    </row>
    <row r="854" spans="2:34">
      <c r="B854" s="63">
        <v>232</v>
      </c>
      <c r="C854" s="64" t="s">
        <v>2157</v>
      </c>
      <c r="D854" s="64" t="s">
        <v>2158</v>
      </c>
      <c r="E854" s="64"/>
      <c r="F854" s="66">
        <v>250</v>
      </c>
      <c r="G854" s="67" t="s">
        <v>2088</v>
      </c>
      <c r="H854" s="278"/>
      <c r="I854" s="66" t="s">
        <v>739</v>
      </c>
      <c r="J854" s="66" t="s">
        <v>2159</v>
      </c>
      <c r="K854" s="66" t="s">
        <v>739</v>
      </c>
      <c r="L854" s="66" t="s">
        <v>245</v>
      </c>
      <c r="M854" s="93">
        <v>6368.1</v>
      </c>
      <c r="N854" s="32"/>
      <c r="O854" s="94">
        <v>63681</v>
      </c>
      <c r="P854" s="71"/>
      <c r="Q854" s="94"/>
      <c r="R854" s="94" t="s">
        <v>741</v>
      </c>
      <c r="S854" s="94" t="s">
        <v>2160</v>
      </c>
      <c r="T854" s="78"/>
      <c r="U854" s="78"/>
      <c r="V854" s="78"/>
      <c r="W854" s="78"/>
      <c r="X854" s="78"/>
      <c r="Y854" s="78"/>
      <c r="Z854" s="78">
        <v>32477</v>
      </c>
      <c r="AA854" s="79">
        <v>36279</v>
      </c>
      <c r="AB854" s="78">
        <v>325</v>
      </c>
      <c r="AC854" s="80">
        <v>36297</v>
      </c>
      <c r="AD854" s="75"/>
      <c r="AE854" s="75"/>
      <c r="AF854" s="32"/>
      <c r="AG854" s="32"/>
    </row>
    <row r="855" spans="2:34">
      <c r="B855" s="63">
        <v>233</v>
      </c>
      <c r="C855" s="64" t="s">
        <v>2161</v>
      </c>
      <c r="D855" s="64" t="s">
        <v>2162</v>
      </c>
      <c r="E855" s="64"/>
      <c r="F855" s="66">
        <v>251</v>
      </c>
      <c r="G855" s="67" t="s">
        <v>2088</v>
      </c>
      <c r="H855" s="278"/>
      <c r="I855" s="66" t="s">
        <v>503</v>
      </c>
      <c r="J855" s="66" t="s">
        <v>2163</v>
      </c>
      <c r="K855" s="66" t="s">
        <v>503</v>
      </c>
      <c r="L855" s="66" t="s">
        <v>245</v>
      </c>
      <c r="M855" s="93">
        <v>9521.6</v>
      </c>
      <c r="N855" s="32"/>
      <c r="O855" s="94">
        <v>95216</v>
      </c>
      <c r="P855" s="71"/>
      <c r="Q855" s="94"/>
      <c r="R855" s="94" t="s">
        <v>504</v>
      </c>
      <c r="S855" s="94" t="s">
        <v>2164</v>
      </c>
      <c r="T855" s="78"/>
      <c r="U855" s="78"/>
      <c r="V855" s="78"/>
      <c r="W855" s="78"/>
      <c r="X855" s="78"/>
      <c r="Y855" s="78"/>
      <c r="Z855" s="78">
        <v>57130</v>
      </c>
      <c r="AA855" s="79">
        <v>36091</v>
      </c>
      <c r="AB855" s="78">
        <v>738</v>
      </c>
      <c r="AC855" s="80">
        <v>36132</v>
      </c>
      <c r="AD855" s="75"/>
      <c r="AE855" s="75"/>
      <c r="AF855" s="32"/>
      <c r="AG855" s="32"/>
    </row>
    <row r="856" spans="2:34">
      <c r="B856" s="63">
        <v>234</v>
      </c>
      <c r="C856" s="64" t="s">
        <v>2165</v>
      </c>
      <c r="D856" s="64" t="s">
        <v>2166</v>
      </c>
      <c r="E856" s="64"/>
      <c r="F856" s="66">
        <v>268</v>
      </c>
      <c r="G856" s="67" t="s">
        <v>2088</v>
      </c>
      <c r="H856" s="278"/>
      <c r="I856" s="66" t="s">
        <v>422</v>
      </c>
      <c r="J856" s="66" t="s">
        <v>2167</v>
      </c>
      <c r="K856" s="66" t="s">
        <v>422</v>
      </c>
      <c r="L856" s="66" t="s">
        <v>380</v>
      </c>
      <c r="M856" s="93">
        <v>29346.1</v>
      </c>
      <c r="N856" s="32"/>
      <c r="O856" s="94">
        <v>293461</v>
      </c>
      <c r="P856" s="250"/>
      <c r="Q856" s="94"/>
      <c r="R856" s="94" t="s">
        <v>423</v>
      </c>
      <c r="S856" s="94"/>
      <c r="T856" s="78"/>
      <c r="U856" s="78"/>
      <c r="V856" s="78">
        <v>26901</v>
      </c>
      <c r="W856" s="79">
        <v>36132</v>
      </c>
      <c r="X856" s="78">
        <v>852</v>
      </c>
      <c r="Y856" s="79">
        <v>36153</v>
      </c>
      <c r="Z856" s="78">
        <v>58000</v>
      </c>
      <c r="AA856" s="79">
        <v>35769</v>
      </c>
      <c r="AB856" s="78">
        <v>783</v>
      </c>
      <c r="AC856" s="80">
        <v>35828</v>
      </c>
      <c r="AD856" s="75"/>
      <c r="AE856" s="75"/>
      <c r="AF856" s="32"/>
      <c r="AG856" s="32"/>
    </row>
    <row r="857" spans="2:34">
      <c r="B857" s="63">
        <v>235</v>
      </c>
      <c r="C857" s="64" t="s">
        <v>2168</v>
      </c>
      <c r="D857" s="64" t="s">
        <v>2169</v>
      </c>
      <c r="E857" s="64"/>
      <c r="F857" s="66">
        <v>270</v>
      </c>
      <c r="G857" s="67" t="s">
        <v>2088</v>
      </c>
      <c r="H857" s="278"/>
      <c r="I857" s="66" t="s">
        <v>436</v>
      </c>
      <c r="J857" s="66" t="s">
        <v>2170</v>
      </c>
      <c r="K857" s="66" t="s">
        <v>436</v>
      </c>
      <c r="L857" s="66" t="s">
        <v>380</v>
      </c>
      <c r="M857" s="93">
        <v>5109.7</v>
      </c>
      <c r="N857" s="32"/>
      <c r="O857" s="94">
        <v>51097</v>
      </c>
      <c r="P857" s="71">
        <v>26059</v>
      </c>
      <c r="Q857" s="94"/>
      <c r="R857" s="94" t="s">
        <v>496</v>
      </c>
      <c r="S857" s="94" t="s">
        <v>2171</v>
      </c>
      <c r="T857" s="78"/>
      <c r="U857" s="78"/>
      <c r="V857" s="78"/>
      <c r="W857" s="78"/>
      <c r="X857" s="78"/>
      <c r="Y857" s="78"/>
      <c r="Z857" s="78"/>
      <c r="AA857" s="78"/>
      <c r="AB857" s="95"/>
      <c r="AC857" s="96"/>
      <c r="AD857" s="97"/>
      <c r="AE857" s="92"/>
      <c r="AF857" s="32"/>
      <c r="AG857" s="32"/>
    </row>
    <row r="858" spans="2:34">
      <c r="B858" s="63">
        <v>236</v>
      </c>
      <c r="C858" s="64" t="s">
        <v>2172</v>
      </c>
      <c r="D858" s="64" t="s">
        <v>2173</v>
      </c>
      <c r="E858" s="64"/>
      <c r="F858" s="63">
        <v>272</v>
      </c>
      <c r="G858" s="67" t="s">
        <v>2088</v>
      </c>
      <c r="H858" s="278"/>
      <c r="I858" s="63" t="s">
        <v>349</v>
      </c>
      <c r="J858" s="63" t="s">
        <v>2174</v>
      </c>
      <c r="K858" s="63" t="s">
        <v>349</v>
      </c>
      <c r="L858" s="63" t="s">
        <v>259</v>
      </c>
      <c r="M858" s="226">
        <v>7818.7</v>
      </c>
      <c r="N858" s="32"/>
      <c r="O858" s="103">
        <v>78187</v>
      </c>
      <c r="P858" s="71"/>
      <c r="Q858" s="66"/>
      <c r="R858" s="66" t="s">
        <v>351</v>
      </c>
      <c r="S858" s="66" t="s">
        <v>2175</v>
      </c>
      <c r="T858" s="78"/>
      <c r="U858" s="78"/>
      <c r="V858" s="78"/>
      <c r="W858" s="78"/>
      <c r="X858" s="78"/>
      <c r="Y858" s="78"/>
      <c r="Z858" s="78"/>
      <c r="AA858" s="78"/>
      <c r="AB858" s="78"/>
      <c r="AC858" s="96"/>
      <c r="AD858" s="92"/>
      <c r="AE858" s="92"/>
      <c r="AF858" s="32"/>
      <c r="AG858" s="32"/>
    </row>
    <row r="859" spans="2:34">
      <c r="B859" s="63">
        <v>237</v>
      </c>
      <c r="C859" s="247" t="s">
        <v>2176</v>
      </c>
      <c r="D859" s="64" t="s">
        <v>2177</v>
      </c>
      <c r="E859" s="64"/>
      <c r="F859" s="66">
        <v>277</v>
      </c>
      <c r="G859" s="67" t="s">
        <v>2088</v>
      </c>
      <c r="H859" s="278"/>
      <c r="I859" s="66" t="s">
        <v>708</v>
      </c>
      <c r="J859" s="66" t="s">
        <v>2178</v>
      </c>
      <c r="K859" s="66" t="s">
        <v>708</v>
      </c>
      <c r="L859" s="66" t="s">
        <v>380</v>
      </c>
      <c r="M859" s="93">
        <v>15400.9</v>
      </c>
      <c r="N859" s="32"/>
      <c r="O859" s="94">
        <v>154009</v>
      </c>
      <c r="P859" s="71"/>
      <c r="Q859" s="94"/>
      <c r="R859" s="94" t="s">
        <v>709</v>
      </c>
      <c r="S859" s="94" t="s">
        <v>2179</v>
      </c>
      <c r="T859" s="78"/>
      <c r="U859" s="78"/>
      <c r="V859" s="78"/>
      <c r="W859" s="78"/>
      <c r="X859" s="78"/>
      <c r="Y859" s="78"/>
      <c r="Z859" s="78"/>
      <c r="AA859" s="78"/>
      <c r="AB859" s="95"/>
      <c r="AC859" s="96"/>
      <c r="AD859" s="92"/>
      <c r="AE859" s="32"/>
      <c r="AF859" s="32"/>
      <c r="AG859" s="32"/>
      <c r="AH859" s="128" t="s">
        <v>2180</v>
      </c>
    </row>
    <row r="860" spans="2:34">
      <c r="B860" s="63">
        <v>238</v>
      </c>
      <c r="C860" s="64" t="s">
        <v>2181</v>
      </c>
      <c r="D860" s="64" t="s">
        <v>2182</v>
      </c>
      <c r="E860" s="64"/>
      <c r="F860" s="66">
        <v>281</v>
      </c>
      <c r="G860" s="67" t="s">
        <v>2088</v>
      </c>
      <c r="H860" s="278"/>
      <c r="I860" s="66" t="s">
        <v>436</v>
      </c>
      <c r="J860" s="66" t="s">
        <v>2183</v>
      </c>
      <c r="K860" s="66" t="s">
        <v>436</v>
      </c>
      <c r="L860" s="66" t="s">
        <v>380</v>
      </c>
      <c r="M860" s="93">
        <v>5035.1000000000004</v>
      </c>
      <c r="N860" s="32"/>
      <c r="O860" s="94">
        <v>50351</v>
      </c>
      <c r="P860" s="71"/>
      <c r="Q860" s="94"/>
      <c r="R860" s="94" t="s">
        <v>496</v>
      </c>
      <c r="S860" s="94" t="s">
        <v>1182</v>
      </c>
      <c r="T860" s="78"/>
      <c r="U860" s="79"/>
      <c r="V860" s="78"/>
      <c r="W860" s="78"/>
      <c r="X860" s="78"/>
      <c r="Y860" s="78"/>
      <c r="Z860" s="78">
        <v>28700</v>
      </c>
      <c r="AA860" s="79">
        <v>35895</v>
      </c>
      <c r="AB860" s="78">
        <v>222</v>
      </c>
      <c r="AC860" s="80">
        <v>35895</v>
      </c>
      <c r="AD860" s="75"/>
      <c r="AE860" s="75"/>
      <c r="AF860" s="32"/>
      <c r="AG860" s="32"/>
    </row>
    <row r="861" spans="2:34">
      <c r="B861" s="63">
        <v>239</v>
      </c>
      <c r="C861" s="64" t="s">
        <v>2184</v>
      </c>
      <c r="D861" s="64" t="s">
        <v>2185</v>
      </c>
      <c r="E861" s="64"/>
      <c r="F861" s="66">
        <v>283</v>
      </c>
      <c r="G861" s="67" t="s">
        <v>2088</v>
      </c>
      <c r="H861" s="278"/>
      <c r="I861" s="66" t="s">
        <v>436</v>
      </c>
      <c r="J861" s="66" t="s">
        <v>2186</v>
      </c>
      <c r="K861" s="66" t="s">
        <v>436</v>
      </c>
      <c r="L861" s="66" t="s">
        <v>380</v>
      </c>
      <c r="M861" s="93">
        <v>5563.7</v>
      </c>
      <c r="N861" s="32"/>
      <c r="O861" s="94">
        <v>55637</v>
      </c>
      <c r="P861" s="71"/>
      <c r="Q861" s="94"/>
      <c r="R861" s="94" t="s">
        <v>496</v>
      </c>
      <c r="S861" s="94" t="s">
        <v>2187</v>
      </c>
      <c r="T861" s="78"/>
      <c r="U861" s="78"/>
      <c r="V861" s="78"/>
      <c r="W861" s="78"/>
      <c r="X861" s="78"/>
      <c r="Y861" s="78"/>
      <c r="Z861" s="78">
        <v>16691</v>
      </c>
      <c r="AA861" s="79">
        <v>35961</v>
      </c>
      <c r="AB861" s="78">
        <v>444</v>
      </c>
      <c r="AC861" s="80">
        <v>36011</v>
      </c>
      <c r="AD861" s="75"/>
      <c r="AE861" s="75"/>
      <c r="AF861" s="32"/>
      <c r="AG861" s="32"/>
    </row>
    <row r="862" spans="2:34">
      <c r="B862" s="63">
        <v>240</v>
      </c>
      <c r="C862" s="64" t="s">
        <v>2188</v>
      </c>
      <c r="D862" s="64" t="s">
        <v>620</v>
      </c>
      <c r="E862" s="64"/>
      <c r="F862" s="66">
        <v>292</v>
      </c>
      <c r="G862" s="67" t="s">
        <v>2088</v>
      </c>
      <c r="H862" s="278"/>
      <c r="I862" s="66" t="s">
        <v>232</v>
      </c>
      <c r="J862" s="66" t="s">
        <v>2189</v>
      </c>
      <c r="K862" s="66" t="s">
        <v>232</v>
      </c>
      <c r="L862" s="66" t="s">
        <v>233</v>
      </c>
      <c r="M862" s="93">
        <v>7980.8</v>
      </c>
      <c r="N862" s="32"/>
      <c r="O862" s="94">
        <v>79808</v>
      </c>
      <c r="P862" s="71"/>
      <c r="Q862" s="66"/>
      <c r="R862" s="66" t="s">
        <v>292</v>
      </c>
      <c r="S862" s="66" t="s">
        <v>621</v>
      </c>
      <c r="T862" s="78"/>
      <c r="U862" s="78"/>
      <c r="V862" s="78"/>
      <c r="W862" s="78"/>
      <c r="X862" s="78"/>
      <c r="Y862" s="78"/>
      <c r="Z862" s="78"/>
      <c r="AA862" s="78"/>
      <c r="AB862" s="78"/>
      <c r="AC862" s="96"/>
      <c r="AD862" s="92"/>
      <c r="AE862" s="92"/>
      <c r="AF862" s="32"/>
      <c r="AG862" s="32"/>
    </row>
    <row r="863" spans="2:34">
      <c r="B863" s="63">
        <v>241</v>
      </c>
      <c r="C863" s="64" t="s">
        <v>2190</v>
      </c>
      <c r="D863" s="64" t="s">
        <v>620</v>
      </c>
      <c r="E863" s="64"/>
      <c r="F863" s="66">
        <v>293</v>
      </c>
      <c r="G863" s="67" t="s">
        <v>2088</v>
      </c>
      <c r="H863" s="278"/>
      <c r="I863" s="66" t="s">
        <v>232</v>
      </c>
      <c r="J863" s="66" t="s">
        <v>2191</v>
      </c>
      <c r="K863" s="66" t="s">
        <v>232</v>
      </c>
      <c r="L863" s="66" t="s">
        <v>233</v>
      </c>
      <c r="M863" s="93">
        <v>6815.1</v>
      </c>
      <c r="N863" s="32"/>
      <c r="O863" s="94">
        <v>68151</v>
      </c>
      <c r="P863" s="71"/>
      <c r="Q863" s="66"/>
      <c r="R863" s="66" t="s">
        <v>292</v>
      </c>
      <c r="S863" s="66" t="s">
        <v>621</v>
      </c>
      <c r="T863" s="78"/>
      <c r="U863" s="78"/>
      <c r="V863" s="78"/>
      <c r="W863" s="78"/>
      <c r="X863" s="78"/>
      <c r="Y863" s="78"/>
      <c r="Z863" s="78"/>
      <c r="AA863" s="78"/>
      <c r="AB863" s="78"/>
      <c r="AC863" s="96"/>
      <c r="AD863" s="92"/>
      <c r="AE863" s="92"/>
      <c r="AF863" s="32"/>
      <c r="AG863" s="32"/>
    </row>
    <row r="864" spans="2:34">
      <c r="B864" s="63">
        <v>242</v>
      </c>
      <c r="C864" s="64" t="s">
        <v>2192</v>
      </c>
      <c r="D864" s="64" t="s">
        <v>620</v>
      </c>
      <c r="E864" s="64"/>
      <c r="F864" s="66">
        <v>294</v>
      </c>
      <c r="G864" s="67" t="s">
        <v>2088</v>
      </c>
      <c r="H864" s="278"/>
      <c r="I864" s="66" t="s">
        <v>232</v>
      </c>
      <c r="J864" s="66" t="s">
        <v>2193</v>
      </c>
      <c r="K864" s="66" t="s">
        <v>232</v>
      </c>
      <c r="L864" s="66" t="s">
        <v>233</v>
      </c>
      <c r="M864" s="93">
        <v>6210.7</v>
      </c>
      <c r="N864" s="32"/>
      <c r="O864" s="94">
        <v>62107</v>
      </c>
      <c r="P864" s="71"/>
      <c r="Q864" s="66"/>
      <c r="R864" s="66" t="s">
        <v>292</v>
      </c>
      <c r="S864" s="66" t="s">
        <v>621</v>
      </c>
      <c r="T864" s="78"/>
      <c r="U864" s="78"/>
      <c r="V864" s="78"/>
      <c r="W864" s="78"/>
      <c r="X864" s="78"/>
      <c r="Y864" s="78"/>
      <c r="Z864" s="78"/>
      <c r="AA864" s="78"/>
      <c r="AB864" s="78"/>
      <c r="AC864" s="96"/>
      <c r="AD864" s="92"/>
      <c r="AE864" s="92"/>
      <c r="AF864" s="32"/>
      <c r="AG864" s="32"/>
    </row>
    <row r="865" spans="2:33">
      <c r="B865" s="63">
        <v>243</v>
      </c>
      <c r="C865" s="64" t="s">
        <v>2194</v>
      </c>
      <c r="D865" s="64" t="s">
        <v>620</v>
      </c>
      <c r="E865" s="64"/>
      <c r="F865" s="66">
        <v>295</v>
      </c>
      <c r="G865" s="67" t="s">
        <v>2088</v>
      </c>
      <c r="H865" s="278"/>
      <c r="I865" s="66" t="s">
        <v>232</v>
      </c>
      <c r="J865" s="66" t="s">
        <v>2195</v>
      </c>
      <c r="K865" s="66" t="s">
        <v>232</v>
      </c>
      <c r="L865" s="66" t="s">
        <v>233</v>
      </c>
      <c r="M865" s="93">
        <v>7334.3</v>
      </c>
      <c r="N865" s="32"/>
      <c r="O865" s="94">
        <v>73343</v>
      </c>
      <c r="P865" s="71"/>
      <c r="Q865" s="66"/>
      <c r="R865" s="66" t="s">
        <v>292</v>
      </c>
      <c r="S865" s="66" t="s">
        <v>621</v>
      </c>
      <c r="T865" s="78"/>
      <c r="U865" s="78"/>
      <c r="V865" s="78"/>
      <c r="W865" s="78"/>
      <c r="X865" s="78"/>
      <c r="Y865" s="78"/>
      <c r="Z865" s="78"/>
      <c r="AA865" s="78"/>
      <c r="AB865" s="78"/>
      <c r="AC865" s="96"/>
      <c r="AD865" s="92"/>
      <c r="AE865" s="92"/>
      <c r="AF865" s="32"/>
      <c r="AG865" s="32"/>
    </row>
    <row r="866" spans="2:33">
      <c r="B866" s="63">
        <v>244</v>
      </c>
      <c r="C866" s="64" t="s">
        <v>2196</v>
      </c>
      <c r="D866" s="64" t="s">
        <v>2197</v>
      </c>
      <c r="E866" s="64"/>
      <c r="F866" s="66">
        <v>304</v>
      </c>
      <c r="G866" s="67" t="s">
        <v>2088</v>
      </c>
      <c r="H866" s="278"/>
      <c r="I866" s="66" t="s">
        <v>503</v>
      </c>
      <c r="J866" s="66" t="s">
        <v>2198</v>
      </c>
      <c r="K866" s="66" t="s">
        <v>503</v>
      </c>
      <c r="L866" s="66" t="s">
        <v>259</v>
      </c>
      <c r="M866" s="93">
        <v>15775.8</v>
      </c>
      <c r="N866" s="32"/>
      <c r="O866" s="94">
        <v>157758</v>
      </c>
      <c r="P866" s="71"/>
      <c r="Q866" s="66"/>
      <c r="R866" s="66" t="s">
        <v>504</v>
      </c>
      <c r="S866" s="66" t="s">
        <v>2199</v>
      </c>
      <c r="T866" s="78"/>
      <c r="U866" s="78"/>
      <c r="V866" s="78"/>
      <c r="W866" s="78"/>
      <c r="X866" s="78"/>
      <c r="Y866" s="78"/>
      <c r="Z866" s="78"/>
      <c r="AA866" s="78"/>
      <c r="AB866" s="78"/>
      <c r="AC866" s="96"/>
      <c r="AD866" s="92"/>
      <c r="AE866" s="92"/>
      <c r="AF866" s="32"/>
      <c r="AG866" s="32"/>
    </row>
    <row r="867" spans="2:33">
      <c r="B867" s="63">
        <v>245</v>
      </c>
      <c r="C867" s="247" t="s">
        <v>2200</v>
      </c>
      <c r="D867" s="64" t="s">
        <v>2201</v>
      </c>
      <c r="E867" s="64"/>
      <c r="F867" s="66">
        <v>305</v>
      </c>
      <c r="G867" s="67" t="s">
        <v>2088</v>
      </c>
      <c r="H867" s="278"/>
      <c r="I867" s="66" t="s">
        <v>708</v>
      </c>
      <c r="J867" s="66" t="s">
        <v>2202</v>
      </c>
      <c r="K867" s="66" t="s">
        <v>708</v>
      </c>
      <c r="L867" s="66" t="s">
        <v>233</v>
      </c>
      <c r="M867" s="93">
        <v>16005.7</v>
      </c>
      <c r="N867" s="32"/>
      <c r="O867" s="94">
        <v>160057</v>
      </c>
      <c r="P867" s="71">
        <v>81629</v>
      </c>
      <c r="Q867" s="94" t="s">
        <v>708</v>
      </c>
      <c r="R867" s="94" t="s">
        <v>709</v>
      </c>
      <c r="S867" s="94" t="s">
        <v>1074</v>
      </c>
      <c r="T867" s="78"/>
      <c r="U867" s="78"/>
      <c r="V867" s="78"/>
      <c r="W867" s="78"/>
      <c r="X867" s="78"/>
      <c r="Y867" s="78"/>
      <c r="Z867" s="78"/>
      <c r="AA867" s="78"/>
      <c r="AB867" s="95"/>
      <c r="AC867" s="96"/>
      <c r="AD867" s="97"/>
      <c r="AE867" s="92"/>
      <c r="AF867" s="32"/>
      <c r="AG867" s="32"/>
    </row>
    <row r="868" spans="2:33">
      <c r="B868" s="63">
        <v>246</v>
      </c>
      <c r="C868" s="64" t="s">
        <v>2203</v>
      </c>
      <c r="D868" s="64" t="s">
        <v>818</v>
      </c>
      <c r="E868" s="64"/>
      <c r="F868" s="63">
        <v>324</v>
      </c>
      <c r="G868" s="67" t="s">
        <v>2088</v>
      </c>
      <c r="H868" s="278"/>
      <c r="I868" s="63" t="s">
        <v>503</v>
      </c>
      <c r="J868" s="63" t="s">
        <v>2204</v>
      </c>
      <c r="K868" s="63" t="s">
        <v>503</v>
      </c>
      <c r="L868" s="63" t="s">
        <v>380</v>
      </c>
      <c r="M868" s="226">
        <v>5031</v>
      </c>
      <c r="N868" s="32"/>
      <c r="O868" s="103">
        <v>50310</v>
      </c>
      <c r="P868" s="71"/>
      <c r="Q868" s="66"/>
      <c r="R868" s="66" t="s">
        <v>504</v>
      </c>
      <c r="S868" s="66" t="s">
        <v>564</v>
      </c>
      <c r="T868" s="78"/>
      <c r="U868" s="78"/>
      <c r="V868" s="78"/>
      <c r="W868" s="78"/>
      <c r="X868" s="78"/>
      <c r="Y868" s="78"/>
      <c r="Z868" s="78"/>
      <c r="AA868" s="78"/>
      <c r="AB868" s="78"/>
      <c r="AC868" s="96"/>
      <c r="AD868" s="92"/>
      <c r="AE868" s="92"/>
      <c r="AF868" s="32"/>
      <c r="AG868" s="32"/>
    </row>
    <row r="869" spans="2:33">
      <c r="B869" s="63">
        <v>247</v>
      </c>
      <c r="C869" s="64" t="s">
        <v>2205</v>
      </c>
      <c r="D869" s="64" t="s">
        <v>2206</v>
      </c>
      <c r="E869" s="64"/>
      <c r="F869" s="66">
        <v>342</v>
      </c>
      <c r="G869" s="67" t="s">
        <v>2088</v>
      </c>
      <c r="H869" s="278"/>
      <c r="I869" s="66" t="s">
        <v>232</v>
      </c>
      <c r="J869" s="66" t="s">
        <v>2207</v>
      </c>
      <c r="K869" s="66" t="s">
        <v>232</v>
      </c>
      <c r="L869" s="66" t="s">
        <v>245</v>
      </c>
      <c r="M869" s="93">
        <v>116406.6</v>
      </c>
      <c r="N869" s="32"/>
      <c r="O869" s="94">
        <v>1164066</v>
      </c>
      <c r="P869" s="71"/>
      <c r="Q869" s="66"/>
      <c r="R869" s="66" t="s">
        <v>292</v>
      </c>
      <c r="S869" s="66" t="s">
        <v>1407</v>
      </c>
      <c r="T869" s="78"/>
      <c r="U869" s="78"/>
      <c r="V869" s="78"/>
      <c r="W869" s="78"/>
      <c r="X869" s="78"/>
      <c r="Y869" s="78"/>
      <c r="Z869" s="78"/>
      <c r="AA869" s="78"/>
      <c r="AB869" s="78"/>
      <c r="AC869" s="96"/>
      <c r="AD869" s="92"/>
      <c r="AE869" s="92"/>
      <c r="AF869" s="32"/>
      <c r="AG869" s="32"/>
    </row>
    <row r="870" spans="2:33">
      <c r="B870" s="63">
        <v>248</v>
      </c>
      <c r="C870" s="64" t="s">
        <v>2208</v>
      </c>
      <c r="D870" s="64" t="s">
        <v>2209</v>
      </c>
      <c r="E870" s="64"/>
      <c r="F870" s="66">
        <v>348</v>
      </c>
      <c r="G870" s="67" t="s">
        <v>2088</v>
      </c>
      <c r="H870" s="278"/>
      <c r="I870" s="66" t="s">
        <v>345</v>
      </c>
      <c r="J870" s="66" t="s">
        <v>2210</v>
      </c>
      <c r="K870" s="66" t="s">
        <v>345</v>
      </c>
      <c r="L870" s="66" t="s">
        <v>380</v>
      </c>
      <c r="M870" s="93">
        <v>26666.3</v>
      </c>
      <c r="N870" s="32"/>
      <c r="O870" s="94">
        <v>266663</v>
      </c>
      <c r="P870" s="71">
        <v>135998</v>
      </c>
      <c r="Q870" s="94" t="s">
        <v>345</v>
      </c>
      <c r="R870" s="94" t="s">
        <v>346</v>
      </c>
      <c r="S870" s="94"/>
      <c r="T870" s="78">
        <v>26666.3</v>
      </c>
      <c r="U870" s="79">
        <v>35733</v>
      </c>
      <c r="V870" s="78" t="s">
        <v>240</v>
      </c>
      <c r="W870" s="80">
        <v>35733</v>
      </c>
      <c r="X870" s="78" t="s">
        <v>2211</v>
      </c>
      <c r="Y870" s="78"/>
      <c r="Z870" s="78"/>
      <c r="AA870" s="78"/>
      <c r="AB870" s="95"/>
      <c r="AC870" s="96"/>
      <c r="AD870" s="97"/>
      <c r="AE870" s="92"/>
      <c r="AF870" s="32"/>
      <c r="AG870" s="32"/>
    </row>
    <row r="871" spans="2:33">
      <c r="B871" s="63">
        <v>249</v>
      </c>
      <c r="C871" s="64" t="s">
        <v>2212</v>
      </c>
      <c r="D871" s="64" t="s">
        <v>2213</v>
      </c>
      <c r="E871" s="64"/>
      <c r="F871" s="66">
        <v>350</v>
      </c>
      <c r="G871" s="67" t="s">
        <v>2088</v>
      </c>
      <c r="H871" s="278"/>
      <c r="I871" s="66" t="s">
        <v>422</v>
      </c>
      <c r="J871" s="66" t="s">
        <v>2214</v>
      </c>
      <c r="K871" s="66" t="s">
        <v>422</v>
      </c>
      <c r="L871" s="66" t="s">
        <v>380</v>
      </c>
      <c r="M871" s="93">
        <v>24922.799999999999</v>
      </c>
      <c r="N871" s="32"/>
      <c r="O871" s="94">
        <v>249228</v>
      </c>
      <c r="P871" s="71">
        <v>82245</v>
      </c>
      <c r="Q871" s="94"/>
      <c r="R871" s="94" t="s">
        <v>423</v>
      </c>
      <c r="S871" s="94" t="s">
        <v>2125</v>
      </c>
      <c r="T871" s="78"/>
      <c r="U871" s="78"/>
      <c r="V871" s="78"/>
      <c r="W871" s="78"/>
      <c r="X871" s="78"/>
      <c r="Y871" s="78"/>
      <c r="Z871" s="78"/>
      <c r="AA871" s="78"/>
      <c r="AB871" s="95"/>
      <c r="AC871" s="96"/>
      <c r="AD871" s="97"/>
      <c r="AE871" s="92"/>
      <c r="AF871" s="32" t="s">
        <v>2215</v>
      </c>
      <c r="AG871" s="32"/>
    </row>
    <row r="872" spans="2:33">
      <c r="B872" s="63">
        <v>250</v>
      </c>
      <c r="C872" s="64" t="s">
        <v>2216</v>
      </c>
      <c r="D872" s="64" t="s">
        <v>2217</v>
      </c>
      <c r="E872" s="64"/>
      <c r="F872" s="63">
        <v>357</v>
      </c>
      <c r="G872" s="67" t="s">
        <v>2088</v>
      </c>
      <c r="H872" s="278"/>
      <c r="I872" s="63" t="s">
        <v>453</v>
      </c>
      <c r="J872" s="63" t="s">
        <v>2218</v>
      </c>
      <c r="K872" s="63" t="s">
        <v>453</v>
      </c>
      <c r="L872" s="63" t="s">
        <v>380</v>
      </c>
      <c r="M872" s="226">
        <v>14748.9</v>
      </c>
      <c r="N872" s="32"/>
      <c r="O872" s="103">
        <v>147489</v>
      </c>
      <c r="P872" s="71"/>
      <c r="Q872" s="66"/>
      <c r="R872" s="66" t="s">
        <v>454</v>
      </c>
      <c r="S872" s="66" t="s">
        <v>1804</v>
      </c>
      <c r="T872" s="78"/>
      <c r="U872" s="78"/>
      <c r="V872" s="78"/>
      <c r="W872" s="78"/>
      <c r="X872" s="78"/>
      <c r="Y872" s="78"/>
      <c r="Z872" s="78"/>
      <c r="AA872" s="78"/>
      <c r="AB872" s="78"/>
      <c r="AC872" s="96"/>
      <c r="AD872" s="92"/>
      <c r="AE872" s="92"/>
      <c r="AF872" s="32"/>
      <c r="AG872" s="32"/>
    </row>
    <row r="873" spans="2:33">
      <c r="B873" s="63">
        <v>251</v>
      </c>
      <c r="C873" s="64" t="s">
        <v>2219</v>
      </c>
      <c r="D873" s="64" t="s">
        <v>2220</v>
      </c>
      <c r="E873" s="64"/>
      <c r="F873" s="66">
        <v>363</v>
      </c>
      <c r="G873" s="67" t="s">
        <v>2088</v>
      </c>
      <c r="H873" s="278"/>
      <c r="I873" s="66" t="s">
        <v>232</v>
      </c>
      <c r="J873" s="66" t="s">
        <v>2221</v>
      </c>
      <c r="K873" s="66" t="s">
        <v>232</v>
      </c>
      <c r="L873" s="66" t="s">
        <v>350</v>
      </c>
      <c r="M873" s="93">
        <v>18751.599999999999</v>
      </c>
      <c r="N873" s="32"/>
      <c r="O873" s="94">
        <v>187516</v>
      </c>
      <c r="P873" s="71"/>
      <c r="Q873" s="94"/>
      <c r="R873" s="94" t="s">
        <v>323</v>
      </c>
      <c r="S873" s="94" t="s">
        <v>2222</v>
      </c>
      <c r="T873" s="78"/>
      <c r="U873" s="78"/>
      <c r="V873" s="78"/>
      <c r="W873" s="78"/>
      <c r="X873" s="78"/>
      <c r="Y873" s="78"/>
      <c r="Z873" s="78"/>
      <c r="AA873" s="78"/>
      <c r="AB873" s="78"/>
      <c r="AC873" s="96"/>
      <c r="AD873" s="92"/>
      <c r="AE873" s="92"/>
      <c r="AF873" s="32"/>
      <c r="AG873" s="32"/>
    </row>
    <row r="874" spans="2:33">
      <c r="B874" s="63">
        <v>252</v>
      </c>
      <c r="C874" s="64" t="s">
        <v>2223</v>
      </c>
      <c r="D874" s="64" t="s">
        <v>2224</v>
      </c>
      <c r="E874" s="64"/>
      <c r="F874" s="66">
        <v>368</v>
      </c>
      <c r="G874" s="67" t="s">
        <v>2088</v>
      </c>
      <c r="H874" s="278"/>
      <c r="I874" s="66" t="s">
        <v>333</v>
      </c>
      <c r="J874" s="66" t="s">
        <v>2225</v>
      </c>
      <c r="K874" s="66" t="s">
        <v>333</v>
      </c>
      <c r="L874" s="66" t="s">
        <v>233</v>
      </c>
      <c r="M874" s="93">
        <v>13380.8</v>
      </c>
      <c r="N874" s="32"/>
      <c r="O874" s="94">
        <v>67841</v>
      </c>
      <c r="P874" s="71">
        <v>3091</v>
      </c>
      <c r="Q874" s="94" t="s">
        <v>333</v>
      </c>
      <c r="R874" s="94" t="s">
        <v>334</v>
      </c>
      <c r="S874" s="94" t="s">
        <v>335</v>
      </c>
      <c r="T874" s="78"/>
      <c r="U874" s="78"/>
      <c r="V874" s="78"/>
      <c r="W874" s="78"/>
      <c r="X874" s="78"/>
      <c r="Y874" s="78"/>
      <c r="Z874" s="78"/>
      <c r="AA874" s="78"/>
      <c r="AB874" s="95"/>
      <c r="AC874" s="96"/>
      <c r="AD874" s="97"/>
      <c r="AE874" s="92"/>
      <c r="AF874" s="32"/>
      <c r="AG874" s="32"/>
    </row>
    <row r="875" spans="2:33">
      <c r="B875" s="63">
        <v>253</v>
      </c>
      <c r="C875" s="64" t="s">
        <v>2226</v>
      </c>
      <c r="D875" s="64" t="s">
        <v>2227</v>
      </c>
      <c r="E875" s="64"/>
      <c r="F875" s="66">
        <v>371</v>
      </c>
      <c r="G875" s="67" t="s">
        <v>2088</v>
      </c>
      <c r="H875" s="278"/>
      <c r="I875" s="66" t="s">
        <v>422</v>
      </c>
      <c r="J875" s="66" t="s">
        <v>2228</v>
      </c>
      <c r="K875" s="66" t="s">
        <v>422</v>
      </c>
      <c r="L875" s="66" t="s">
        <v>380</v>
      </c>
      <c r="M875" s="93">
        <v>7717.7</v>
      </c>
      <c r="N875" s="32"/>
      <c r="O875" s="94">
        <v>242556</v>
      </c>
      <c r="P875" s="71"/>
      <c r="Q875" s="66"/>
      <c r="R875" s="66" t="s">
        <v>423</v>
      </c>
      <c r="S875" s="66" t="s">
        <v>730</v>
      </c>
      <c r="T875" s="78">
        <v>157716.5</v>
      </c>
      <c r="U875" s="78" t="s">
        <v>2229</v>
      </c>
      <c r="V875" s="78"/>
      <c r="W875" s="79">
        <v>35929</v>
      </c>
      <c r="X875" s="78">
        <v>149998.79999999999</v>
      </c>
      <c r="Y875" s="78">
        <v>165379</v>
      </c>
      <c r="Z875" s="78"/>
      <c r="AA875" s="78"/>
      <c r="AB875" s="78"/>
      <c r="AC875" s="96"/>
      <c r="AD875" s="92"/>
      <c r="AE875" s="92"/>
      <c r="AF875" s="32"/>
      <c r="AG875" s="32"/>
    </row>
    <row r="876" spans="2:33">
      <c r="B876" s="63">
        <v>254</v>
      </c>
      <c r="C876" s="247" t="s">
        <v>2230</v>
      </c>
      <c r="D876" s="64" t="s">
        <v>2231</v>
      </c>
      <c r="E876" s="64"/>
      <c r="F876" s="66">
        <v>400</v>
      </c>
      <c r="G876" s="67" t="s">
        <v>2088</v>
      </c>
      <c r="H876" s="278"/>
      <c r="I876" s="66" t="s">
        <v>708</v>
      </c>
      <c r="J876" s="66" t="s">
        <v>2232</v>
      </c>
      <c r="K876" s="66" t="s">
        <v>708</v>
      </c>
      <c r="L876" s="66" t="s">
        <v>380</v>
      </c>
      <c r="M876" s="93">
        <v>24397.5</v>
      </c>
      <c r="N876" s="32"/>
      <c r="O876" s="94">
        <v>243975</v>
      </c>
      <c r="P876" s="71">
        <v>124427</v>
      </c>
      <c r="Q876" s="94" t="s">
        <v>708</v>
      </c>
      <c r="R876" s="94" t="s">
        <v>709</v>
      </c>
      <c r="S876" s="94" t="s">
        <v>1164</v>
      </c>
      <c r="T876" s="78"/>
      <c r="U876" s="78"/>
      <c r="V876" s="78"/>
      <c r="W876" s="78"/>
      <c r="X876" s="78"/>
      <c r="Y876" s="78"/>
      <c r="Z876" s="78"/>
      <c r="AA876" s="78"/>
      <c r="AB876" s="95"/>
      <c r="AC876" s="96"/>
      <c r="AD876" s="97"/>
      <c r="AE876" s="92"/>
      <c r="AF876" s="32"/>
      <c r="AG876" s="32"/>
    </row>
    <row r="877" spans="2:33">
      <c r="B877" s="63">
        <v>255</v>
      </c>
      <c r="C877" s="64" t="s">
        <v>2233</v>
      </c>
      <c r="D877" s="64" t="s">
        <v>2234</v>
      </c>
      <c r="E877" s="64"/>
      <c r="F877" s="66">
        <v>416</v>
      </c>
      <c r="G877" s="67" t="s">
        <v>2088</v>
      </c>
      <c r="H877" s="278"/>
      <c r="I877" s="66" t="s">
        <v>333</v>
      </c>
      <c r="J877" s="66" t="s">
        <v>2235</v>
      </c>
      <c r="K877" s="66" t="s">
        <v>333</v>
      </c>
      <c r="L877" s="66" t="s">
        <v>350</v>
      </c>
      <c r="M877" s="93">
        <v>6379.2</v>
      </c>
      <c r="N877" s="32"/>
      <c r="O877" s="94">
        <v>63792</v>
      </c>
      <c r="P877" s="71"/>
      <c r="Q877" s="66"/>
      <c r="R877" s="66" t="s">
        <v>334</v>
      </c>
      <c r="S877" s="66" t="s">
        <v>1389</v>
      </c>
      <c r="T877" s="78"/>
      <c r="U877" s="78"/>
      <c r="V877" s="78"/>
      <c r="W877" s="78"/>
      <c r="X877" s="78"/>
      <c r="Y877" s="78"/>
      <c r="Z877" s="78"/>
      <c r="AA877" s="78"/>
      <c r="AB877" s="78"/>
      <c r="AC877" s="96"/>
      <c r="AD877" s="92"/>
      <c r="AE877" s="92"/>
      <c r="AF877" s="32"/>
      <c r="AG877" s="32"/>
    </row>
    <row r="878" spans="2:33">
      <c r="B878" s="63">
        <v>256</v>
      </c>
      <c r="C878" s="64" t="s">
        <v>2236</v>
      </c>
      <c r="D878" s="64" t="s">
        <v>2237</v>
      </c>
      <c r="E878" s="64"/>
      <c r="F878" s="66">
        <v>419</v>
      </c>
      <c r="G878" s="67" t="s">
        <v>2088</v>
      </c>
      <c r="H878" s="278"/>
      <c r="I878" s="66" t="s">
        <v>232</v>
      </c>
      <c r="J878" s="66" t="s">
        <v>2238</v>
      </c>
      <c r="K878" s="66" t="s">
        <v>232</v>
      </c>
      <c r="L878" s="66" t="s">
        <v>233</v>
      </c>
      <c r="M878" s="93">
        <v>21163</v>
      </c>
      <c r="N878" s="32"/>
      <c r="O878" s="94">
        <v>211630</v>
      </c>
      <c r="P878" s="71"/>
      <c r="Q878" s="66"/>
      <c r="R878" s="66" t="s">
        <v>292</v>
      </c>
      <c r="S878" s="66" t="s">
        <v>2239</v>
      </c>
      <c r="T878" s="78"/>
      <c r="U878" s="78"/>
      <c r="V878" s="78"/>
      <c r="W878" s="78"/>
      <c r="X878" s="78"/>
      <c r="Y878" s="78"/>
      <c r="Z878" s="78"/>
      <c r="AA878" s="78"/>
      <c r="AB878" s="78"/>
      <c r="AC878" s="96"/>
      <c r="AD878" s="92"/>
      <c r="AE878" s="92"/>
      <c r="AF878" s="32"/>
      <c r="AG878" s="32"/>
    </row>
    <row r="879" spans="2:33">
      <c r="B879" s="63">
        <v>257</v>
      </c>
      <c r="C879" s="64" t="s">
        <v>2240</v>
      </c>
      <c r="D879" s="64" t="s">
        <v>2241</v>
      </c>
      <c r="E879" s="64"/>
      <c r="F879" s="66">
        <v>427</v>
      </c>
      <c r="G879" s="67" t="s">
        <v>2088</v>
      </c>
      <c r="H879" s="278"/>
      <c r="I879" s="66" t="s">
        <v>345</v>
      </c>
      <c r="J879" s="66" t="s">
        <v>2242</v>
      </c>
      <c r="K879" s="66" t="s">
        <v>345</v>
      </c>
      <c r="L879" s="66" t="s">
        <v>380</v>
      </c>
      <c r="M879" s="93">
        <v>20459.2</v>
      </c>
      <c r="N879" s="32"/>
      <c r="O879" s="94">
        <v>100250</v>
      </c>
      <c r="P879" s="71"/>
      <c r="Q879" s="94"/>
      <c r="R879" s="94" t="s">
        <v>346</v>
      </c>
      <c r="S879" s="94" t="s">
        <v>923</v>
      </c>
      <c r="T879" s="78"/>
      <c r="U879" s="78"/>
      <c r="V879" s="78" t="s">
        <v>240</v>
      </c>
      <c r="W879" s="79">
        <v>35733</v>
      </c>
      <c r="X879" s="78"/>
      <c r="Y879" s="78">
        <v>-104342</v>
      </c>
      <c r="Z879" s="78"/>
      <c r="AA879" s="78"/>
      <c r="AB879" s="78"/>
      <c r="AC879" s="96"/>
      <c r="AD879" s="92"/>
      <c r="AE879" s="92"/>
      <c r="AF879" s="32"/>
      <c r="AG879" s="32"/>
    </row>
    <row r="880" spans="2:33">
      <c r="B880" s="63">
        <v>258</v>
      </c>
      <c r="C880" s="64" t="s">
        <v>2243</v>
      </c>
      <c r="D880" s="64" t="s">
        <v>2244</v>
      </c>
      <c r="E880" s="64"/>
      <c r="F880" s="66">
        <v>442</v>
      </c>
      <c r="G880" s="67" t="s">
        <v>2088</v>
      </c>
      <c r="H880" s="278"/>
      <c r="I880" s="66" t="s">
        <v>349</v>
      </c>
      <c r="J880" s="66" t="s">
        <v>2245</v>
      </c>
      <c r="K880" s="66" t="s">
        <v>349</v>
      </c>
      <c r="L880" s="66" t="s">
        <v>380</v>
      </c>
      <c r="M880" s="93">
        <v>5856.3</v>
      </c>
      <c r="N880" s="32"/>
      <c r="O880" s="94">
        <v>58563</v>
      </c>
      <c r="P880" s="71">
        <v>10000</v>
      </c>
      <c r="Q880" s="94"/>
      <c r="R880" s="94" t="s">
        <v>351</v>
      </c>
      <c r="S880" s="94" t="s">
        <v>447</v>
      </c>
      <c r="T880" s="78"/>
      <c r="U880" s="78"/>
      <c r="V880" s="78"/>
      <c r="W880" s="78"/>
      <c r="X880" s="78"/>
      <c r="Y880" s="78"/>
      <c r="Z880" s="78"/>
      <c r="AA880" s="78"/>
      <c r="AB880" s="95"/>
      <c r="AC880" s="96"/>
      <c r="AD880" s="97"/>
      <c r="AE880" s="92"/>
      <c r="AF880" s="32"/>
      <c r="AG880" s="32"/>
    </row>
    <row r="881" spans="2:33">
      <c r="B881" s="63">
        <v>259</v>
      </c>
      <c r="C881" s="64" t="s">
        <v>2246</v>
      </c>
      <c r="D881" s="64" t="s">
        <v>2247</v>
      </c>
      <c r="E881" s="64"/>
      <c r="F881" s="66">
        <v>443</v>
      </c>
      <c r="G881" s="67" t="s">
        <v>2088</v>
      </c>
      <c r="H881" s="278"/>
      <c r="I881" s="66" t="s">
        <v>739</v>
      </c>
      <c r="J881" s="66" t="s">
        <v>2248</v>
      </c>
      <c r="K881" s="66" t="s">
        <v>739</v>
      </c>
      <c r="L881" s="66" t="s">
        <v>350</v>
      </c>
      <c r="M881" s="93">
        <v>18126.7</v>
      </c>
      <c r="N881" s="32"/>
      <c r="O881" s="94">
        <v>181267</v>
      </c>
      <c r="P881" s="71"/>
      <c r="Q881" s="94"/>
      <c r="R881" s="94" t="s">
        <v>346</v>
      </c>
      <c r="S881" s="94" t="s">
        <v>447</v>
      </c>
      <c r="T881" s="78"/>
      <c r="U881" s="78"/>
      <c r="V881" s="78"/>
      <c r="W881" s="78"/>
      <c r="X881" s="78"/>
      <c r="Y881" s="78"/>
      <c r="Z881" s="78">
        <v>92446</v>
      </c>
      <c r="AA881" s="79">
        <v>36456</v>
      </c>
      <c r="AB881" s="78">
        <v>734</v>
      </c>
      <c r="AC881" s="80">
        <v>36318</v>
      </c>
      <c r="AD881" s="75"/>
      <c r="AE881" s="75"/>
      <c r="AF881" s="32"/>
      <c r="AG881" s="32"/>
    </row>
    <row r="882" spans="2:33">
      <c r="B882" s="63">
        <v>260</v>
      </c>
      <c r="C882" s="64" t="s">
        <v>2249</v>
      </c>
      <c r="D882" s="64" t="s">
        <v>2250</v>
      </c>
      <c r="E882" s="64"/>
      <c r="F882" s="66">
        <v>446</v>
      </c>
      <c r="G882" s="67" t="s">
        <v>2088</v>
      </c>
      <c r="H882" s="278"/>
      <c r="I882" s="66" t="s">
        <v>349</v>
      </c>
      <c r="J882" s="66" t="s">
        <v>2251</v>
      </c>
      <c r="K882" s="66" t="s">
        <v>349</v>
      </c>
      <c r="L882" s="66" t="s">
        <v>245</v>
      </c>
      <c r="M882" s="93">
        <v>137900.79999999999</v>
      </c>
      <c r="N882" s="32"/>
      <c r="O882" s="94">
        <v>1379008</v>
      </c>
      <c r="P882" s="71">
        <v>827405</v>
      </c>
      <c r="Q882" s="94" t="s">
        <v>234</v>
      </c>
      <c r="R882" s="94" t="s">
        <v>351</v>
      </c>
      <c r="S882" s="94" t="s">
        <v>2252</v>
      </c>
      <c r="T882" s="78"/>
      <c r="U882" s="78"/>
      <c r="V882" s="78"/>
      <c r="W882" s="78"/>
      <c r="X882" s="78"/>
      <c r="Y882" s="78"/>
      <c r="Z882" s="78"/>
      <c r="AA882" s="78"/>
      <c r="AB882" s="95"/>
      <c r="AC882" s="96"/>
      <c r="AD882" s="97"/>
      <c r="AE882" s="92"/>
      <c r="AF882" s="32"/>
      <c r="AG882" s="32"/>
    </row>
    <row r="883" spans="2:33">
      <c r="B883" s="63">
        <v>261</v>
      </c>
      <c r="C883" s="64" t="s">
        <v>2253</v>
      </c>
      <c r="D883" s="64" t="s">
        <v>2254</v>
      </c>
      <c r="E883" s="64"/>
      <c r="F883" s="66">
        <v>463</v>
      </c>
      <c r="G883" s="67" t="s">
        <v>2088</v>
      </c>
      <c r="H883" s="278"/>
      <c r="I883" s="66" t="s">
        <v>422</v>
      </c>
      <c r="J883" s="66" t="s">
        <v>2255</v>
      </c>
      <c r="K883" s="66" t="s">
        <v>422</v>
      </c>
      <c r="L883" s="66" t="s">
        <v>350</v>
      </c>
      <c r="M883" s="93">
        <v>5936.7</v>
      </c>
      <c r="N883" s="32"/>
      <c r="O883" s="94">
        <v>59367</v>
      </c>
      <c r="P883" s="71"/>
      <c r="Q883" s="66"/>
      <c r="R883" s="66" t="s">
        <v>423</v>
      </c>
      <c r="S883" s="66" t="s">
        <v>2256</v>
      </c>
      <c r="T883" s="78">
        <v>18788.900000000001</v>
      </c>
      <c r="U883" s="78"/>
      <c r="V883" s="78"/>
      <c r="W883" s="78"/>
      <c r="X883" s="78"/>
      <c r="Y883" s="78"/>
      <c r="Z883" s="78"/>
      <c r="AA883" s="78"/>
      <c r="AB883" s="78"/>
      <c r="AC883" s="96"/>
      <c r="AD883" s="92"/>
      <c r="AE883" s="92"/>
      <c r="AF883" s="32"/>
      <c r="AG883" s="32"/>
    </row>
    <row r="884" spans="2:33">
      <c r="B884" s="63">
        <v>262</v>
      </c>
      <c r="C884" s="64" t="s">
        <v>2257</v>
      </c>
      <c r="D884" s="64" t="s">
        <v>2247</v>
      </c>
      <c r="E884" s="64"/>
      <c r="F884" s="66">
        <v>472</v>
      </c>
      <c r="G884" s="67" t="s">
        <v>2088</v>
      </c>
      <c r="H884" s="278"/>
      <c r="I884" s="66" t="s">
        <v>422</v>
      </c>
      <c r="J884" s="66" t="s">
        <v>2258</v>
      </c>
      <c r="K884" s="66" t="s">
        <v>422</v>
      </c>
      <c r="L884" s="66" t="s">
        <v>350</v>
      </c>
      <c r="M884" s="93">
        <v>45220.6</v>
      </c>
      <c r="N884" s="32"/>
      <c r="O884" s="94">
        <v>452206</v>
      </c>
      <c r="P884" s="71"/>
      <c r="Q884" s="66"/>
      <c r="R884" s="66" t="s">
        <v>423</v>
      </c>
      <c r="S884" s="66" t="s">
        <v>642</v>
      </c>
      <c r="T884" s="78"/>
      <c r="U884" s="78"/>
      <c r="V884" s="78"/>
      <c r="W884" s="78"/>
      <c r="X884" s="78"/>
      <c r="Y884" s="78"/>
      <c r="Z884" s="78"/>
      <c r="AA884" s="78"/>
      <c r="AB884" s="78"/>
      <c r="AC884" s="96"/>
      <c r="AD884" s="92"/>
      <c r="AE884" s="92"/>
      <c r="AF884" s="32"/>
      <c r="AG884" s="32"/>
    </row>
    <row r="885" spans="2:33">
      <c r="B885" s="63">
        <v>263</v>
      </c>
      <c r="C885" s="64" t="s">
        <v>2259</v>
      </c>
      <c r="D885" s="64" t="s">
        <v>2260</v>
      </c>
      <c r="E885" s="64"/>
      <c r="F885" s="66">
        <v>473</v>
      </c>
      <c r="G885" s="67" t="s">
        <v>2088</v>
      </c>
      <c r="H885" s="278"/>
      <c r="I885" s="66" t="s">
        <v>503</v>
      </c>
      <c r="J885" s="66" t="s">
        <v>2261</v>
      </c>
      <c r="K885" s="66" t="s">
        <v>503</v>
      </c>
      <c r="L885" s="66" t="s">
        <v>380</v>
      </c>
      <c r="M885" s="93">
        <v>46489.1</v>
      </c>
      <c r="N885" s="32"/>
      <c r="O885" s="94">
        <v>433696</v>
      </c>
      <c r="P885" s="71"/>
      <c r="Q885" s="94"/>
      <c r="R885" s="94" t="s">
        <v>504</v>
      </c>
      <c r="S885" s="94" t="s">
        <v>2262</v>
      </c>
      <c r="T885" s="78"/>
      <c r="U885" s="78"/>
      <c r="V885" s="78" t="s">
        <v>862</v>
      </c>
      <c r="W885" s="78"/>
      <c r="X885" s="78"/>
      <c r="Y885" s="78"/>
      <c r="Z885" s="78">
        <v>137618</v>
      </c>
      <c r="AA885" s="79">
        <v>35781</v>
      </c>
      <c r="AB885" s="95">
        <v>821</v>
      </c>
      <c r="AC885" s="80">
        <v>35828</v>
      </c>
      <c r="AD885" s="97"/>
      <c r="AE885" s="75"/>
      <c r="AF885" s="32"/>
      <c r="AG885" s="32"/>
    </row>
    <row r="886" spans="2:33">
      <c r="B886" s="63">
        <v>264</v>
      </c>
      <c r="C886" s="64" t="s">
        <v>2263</v>
      </c>
      <c r="D886" s="64" t="s">
        <v>2264</v>
      </c>
      <c r="E886" s="64"/>
      <c r="F886" s="66">
        <v>474</v>
      </c>
      <c r="G886" s="67" t="s">
        <v>2088</v>
      </c>
      <c r="H886" s="278"/>
      <c r="I886" s="66" t="s">
        <v>422</v>
      </c>
      <c r="J886" s="66" t="s">
        <v>2265</v>
      </c>
      <c r="K886" s="66" t="s">
        <v>422</v>
      </c>
      <c r="L886" s="66" t="s">
        <v>245</v>
      </c>
      <c r="M886" s="93">
        <v>32231.7</v>
      </c>
      <c r="N886" s="32"/>
      <c r="O886" s="94">
        <v>322317</v>
      </c>
      <c r="P886" s="71"/>
      <c r="Q886" s="94"/>
      <c r="R886" s="94" t="s">
        <v>423</v>
      </c>
      <c r="S886" s="94" t="s">
        <v>642</v>
      </c>
      <c r="T886" s="78"/>
      <c r="U886" s="78"/>
      <c r="V886" s="78"/>
      <c r="W886" s="78"/>
      <c r="X886" s="78"/>
      <c r="Y886" s="78"/>
      <c r="Z886" s="78">
        <v>164382</v>
      </c>
      <c r="AA886" s="79">
        <v>35804</v>
      </c>
      <c r="AB886" s="78">
        <v>11</v>
      </c>
      <c r="AC886" s="80">
        <v>35828</v>
      </c>
      <c r="AD886" s="75"/>
      <c r="AE886" s="75"/>
      <c r="AF886" s="32"/>
      <c r="AG886" s="32"/>
    </row>
    <row r="887" spans="2:33">
      <c r="B887" s="63">
        <v>265</v>
      </c>
      <c r="C887" s="64" t="s">
        <v>2266</v>
      </c>
      <c r="D887" s="64" t="s">
        <v>2267</v>
      </c>
      <c r="E887" s="64"/>
      <c r="F887" s="66">
        <v>475</v>
      </c>
      <c r="G887" s="67" t="s">
        <v>2088</v>
      </c>
      <c r="H887" s="278"/>
      <c r="I887" s="66" t="s">
        <v>436</v>
      </c>
      <c r="J887" s="66" t="s">
        <v>2268</v>
      </c>
      <c r="K887" s="66" t="s">
        <v>436</v>
      </c>
      <c r="L887" s="66" t="s">
        <v>233</v>
      </c>
      <c r="M887" s="93">
        <v>5009.6000000000004</v>
      </c>
      <c r="N887" s="32"/>
      <c r="O887" s="94">
        <v>50096</v>
      </c>
      <c r="P887" s="71">
        <v>15029</v>
      </c>
      <c r="Q887" s="94"/>
      <c r="R887" s="94" t="s">
        <v>496</v>
      </c>
      <c r="S887" s="94" t="s">
        <v>2269</v>
      </c>
      <c r="T887" s="78"/>
      <c r="U887" s="78"/>
      <c r="V887" s="78"/>
      <c r="W887" s="78"/>
      <c r="X887" s="78"/>
      <c r="Y887" s="78"/>
      <c r="Z887" s="78"/>
      <c r="AA887" s="78"/>
      <c r="AB887" s="95"/>
      <c r="AC887" s="96"/>
      <c r="AD887" s="97"/>
      <c r="AE887" s="92"/>
      <c r="AF887" s="32"/>
      <c r="AG887" s="32"/>
    </row>
    <row r="888" spans="2:33">
      <c r="B888" s="63">
        <v>266</v>
      </c>
      <c r="C888" s="64" t="s">
        <v>2270</v>
      </c>
      <c r="D888" s="64" t="s">
        <v>2271</v>
      </c>
      <c r="E888" s="64"/>
      <c r="F888" s="66">
        <v>390</v>
      </c>
      <c r="G888" s="67" t="s">
        <v>2088</v>
      </c>
      <c r="H888" s="278"/>
      <c r="I888" s="66" t="s">
        <v>708</v>
      </c>
      <c r="J888" s="66" t="s">
        <v>2272</v>
      </c>
      <c r="K888" s="66" t="s">
        <v>708</v>
      </c>
      <c r="L888" s="66" t="s">
        <v>380</v>
      </c>
      <c r="M888" s="68">
        <v>18724.7</v>
      </c>
      <c r="N888" s="32"/>
      <c r="O888" s="69">
        <v>95496</v>
      </c>
      <c r="P888" s="71">
        <v>95496</v>
      </c>
      <c r="Q888" s="94"/>
      <c r="R888" s="94" t="s">
        <v>709</v>
      </c>
      <c r="S888" s="94" t="s">
        <v>1729</v>
      </c>
      <c r="T888" s="78"/>
      <c r="U888" s="78"/>
      <c r="V888" s="78"/>
      <c r="W888" s="78"/>
      <c r="X888" s="78"/>
      <c r="Y888" s="78"/>
      <c r="Z888" s="78"/>
      <c r="AA888" s="78"/>
      <c r="AB888" s="95"/>
      <c r="AC888" s="96"/>
      <c r="AD888" s="92"/>
      <c r="AE888" s="92" t="s">
        <v>2273</v>
      </c>
      <c r="AF888" s="32" t="s">
        <v>2274</v>
      </c>
      <c r="AG888" s="32"/>
    </row>
    <row r="889" spans="2:33">
      <c r="B889" s="63">
        <v>267</v>
      </c>
      <c r="C889" s="64" t="s">
        <v>1033</v>
      </c>
      <c r="D889" s="64" t="s">
        <v>2275</v>
      </c>
      <c r="E889" s="64"/>
      <c r="F889" s="63">
        <v>253</v>
      </c>
      <c r="G889" s="67" t="s">
        <v>2088</v>
      </c>
      <c r="H889" s="278"/>
      <c r="I889" s="63" t="s">
        <v>349</v>
      </c>
      <c r="J889" s="63" t="s">
        <v>2276</v>
      </c>
      <c r="K889" s="63" t="s">
        <v>349</v>
      </c>
      <c r="L889" s="63" t="s">
        <v>259</v>
      </c>
      <c r="M889" s="226">
        <v>9618.2000000000007</v>
      </c>
      <c r="N889" s="32"/>
      <c r="O889" s="103">
        <v>96182</v>
      </c>
      <c r="P889" s="71">
        <v>49053</v>
      </c>
      <c r="Q889" s="94"/>
      <c r="R889" s="94" t="s">
        <v>292</v>
      </c>
      <c r="S889" s="94" t="s">
        <v>2277</v>
      </c>
      <c r="T889" s="78"/>
      <c r="U889" s="32" t="s">
        <v>2278</v>
      </c>
      <c r="V889" s="78"/>
      <c r="W889" s="78"/>
      <c r="X889" s="78"/>
      <c r="Y889" s="78"/>
      <c r="Z889" s="78"/>
      <c r="AA889" s="78"/>
      <c r="AB889" s="95"/>
      <c r="AC889" s="96"/>
      <c r="AD889" s="97"/>
      <c r="AE889" s="92"/>
      <c r="AF889" s="32"/>
      <c r="AG889" s="32"/>
    </row>
    <row r="890" spans="2:33">
      <c r="B890" s="63">
        <v>268</v>
      </c>
      <c r="C890" s="64" t="s">
        <v>2279</v>
      </c>
      <c r="D890" s="64" t="s">
        <v>2280</v>
      </c>
      <c r="E890" s="64"/>
      <c r="F890" s="66">
        <v>169</v>
      </c>
      <c r="G890" s="67" t="s">
        <v>2088</v>
      </c>
      <c r="H890" s="278"/>
      <c r="I890" s="66" t="s">
        <v>422</v>
      </c>
      <c r="J890" s="66" t="s">
        <v>2281</v>
      </c>
      <c r="K890" s="66" t="s">
        <v>422</v>
      </c>
      <c r="L890" s="66" t="s">
        <v>380</v>
      </c>
      <c r="M890" s="93">
        <v>14374.4</v>
      </c>
      <c r="N890" s="32"/>
      <c r="O890" s="94">
        <v>143744</v>
      </c>
      <c r="P890" s="71"/>
      <c r="Q890" s="94"/>
      <c r="R890" s="94" t="s">
        <v>423</v>
      </c>
      <c r="S890" s="94" t="s">
        <v>2282</v>
      </c>
      <c r="T890" s="78"/>
      <c r="U890" s="78"/>
      <c r="V890" s="78"/>
      <c r="W890" s="78"/>
      <c r="X890" s="78"/>
      <c r="Y890" s="78"/>
      <c r="Z890" s="78"/>
      <c r="AA890" s="78"/>
      <c r="AB890" s="95"/>
      <c r="AC890" s="96"/>
      <c r="AD890" s="92"/>
      <c r="AE890" s="92"/>
      <c r="AF890" s="32" t="s">
        <v>2283</v>
      </c>
      <c r="AG890" s="32"/>
    </row>
    <row r="891" spans="2:33">
      <c r="B891" s="87"/>
      <c r="C891" s="88"/>
      <c r="D891" s="88"/>
      <c r="E891" s="88"/>
      <c r="F891" s="56"/>
      <c r="G891" s="242"/>
      <c r="H891" s="294"/>
      <c r="I891" s="56"/>
      <c r="J891" s="56"/>
      <c r="K891" s="56"/>
      <c r="L891" s="56"/>
      <c r="M891" s="58"/>
      <c r="N891" s="32"/>
      <c r="O891" s="90"/>
      <c r="P891" s="60"/>
      <c r="Q891" s="56"/>
      <c r="R891" s="56"/>
      <c r="S891" s="56"/>
      <c r="T891" s="36"/>
      <c r="U891" s="36"/>
      <c r="V891" s="36"/>
      <c r="W891" s="36"/>
      <c r="X891" s="36"/>
      <c r="Y891" s="36"/>
      <c r="Z891" s="36"/>
      <c r="AA891" s="36"/>
      <c r="AB891" s="36"/>
      <c r="AC891" s="92"/>
      <c r="AD891" s="92"/>
      <c r="AE891" s="92"/>
      <c r="AF891" s="32"/>
      <c r="AG891" s="32"/>
    </row>
    <row r="892" spans="2:33">
      <c r="B892" s="87"/>
      <c r="C892" s="145" t="s">
        <v>2284</v>
      </c>
      <c r="D892" s="88"/>
      <c r="E892" s="88"/>
      <c r="F892" s="56"/>
      <c r="G892" s="242"/>
      <c r="H892" s="294"/>
      <c r="I892" s="56"/>
      <c r="J892" s="56"/>
      <c r="K892" s="56"/>
      <c r="L892" s="56"/>
      <c r="M892" s="58"/>
      <c r="N892" s="32"/>
      <c r="O892" s="90"/>
      <c r="P892" s="60"/>
      <c r="Q892" s="56"/>
      <c r="R892" s="56"/>
      <c r="S892" s="56"/>
      <c r="T892" s="36"/>
      <c r="U892" s="36"/>
      <c r="V892" s="36"/>
      <c r="W892" s="36"/>
      <c r="X892" s="36"/>
      <c r="Y892" s="36"/>
      <c r="Z892" s="36"/>
      <c r="AA892" s="36"/>
      <c r="AB892" s="36"/>
      <c r="AC892" s="92"/>
      <c r="AD892" s="92"/>
      <c r="AE892" s="92"/>
      <c r="AF892" s="32"/>
      <c r="AG892" s="32"/>
    </row>
    <row r="893" spans="2:33">
      <c r="B893" s="63">
        <v>269</v>
      </c>
      <c r="C893" s="64" t="s">
        <v>2285</v>
      </c>
      <c r="D893" s="64" t="s">
        <v>2286</v>
      </c>
      <c r="E893" s="64"/>
      <c r="F893" s="66">
        <v>19</v>
      </c>
      <c r="G893" s="67" t="s">
        <v>2287</v>
      </c>
      <c r="H893" s="278"/>
      <c r="I893" s="66" t="s">
        <v>232</v>
      </c>
      <c r="J893" s="66" t="s">
        <v>2288</v>
      </c>
      <c r="K893" s="66" t="s">
        <v>232</v>
      </c>
      <c r="L893" s="66" t="s">
        <v>245</v>
      </c>
      <c r="M893" s="93">
        <v>5300</v>
      </c>
      <c r="N893" s="32"/>
      <c r="O893" s="94">
        <v>53000</v>
      </c>
      <c r="P893" s="71"/>
      <c r="Q893" s="66"/>
      <c r="R893" s="66" t="s">
        <v>323</v>
      </c>
      <c r="S893" s="66"/>
      <c r="T893" s="78"/>
      <c r="U893" s="78"/>
      <c r="V893" s="78"/>
      <c r="W893" s="78"/>
      <c r="X893" s="78"/>
      <c r="Y893" s="78"/>
      <c r="Z893" s="78"/>
      <c r="AA893" s="78"/>
      <c r="AB893" s="78"/>
      <c r="AC893" s="96"/>
      <c r="AD893" s="92"/>
      <c r="AE893" s="92"/>
      <c r="AF893" s="32"/>
      <c r="AG893" s="32"/>
    </row>
    <row r="894" spans="2:33">
      <c r="B894" s="87"/>
      <c r="C894" s="88"/>
      <c r="D894" s="88"/>
      <c r="E894" s="88"/>
      <c r="F894" s="56"/>
      <c r="G894" s="242"/>
      <c r="H894" s="294"/>
      <c r="I894" s="56"/>
      <c r="J894" s="56"/>
      <c r="K894" s="56"/>
      <c r="L894" s="56"/>
      <c r="M894" s="58"/>
      <c r="N894" s="32"/>
      <c r="O894" s="90"/>
      <c r="P894" s="60"/>
      <c r="Q894" s="56"/>
      <c r="R894" s="56"/>
      <c r="S894" s="56"/>
      <c r="T894" s="36"/>
      <c r="U894" s="36"/>
      <c r="V894" s="36"/>
      <c r="W894" s="36"/>
      <c r="X894" s="36"/>
      <c r="Y894" s="36"/>
      <c r="Z894" s="36"/>
      <c r="AA894" s="36"/>
      <c r="AB894" s="36"/>
      <c r="AC894" s="92"/>
      <c r="AD894" s="92"/>
      <c r="AE894" s="92"/>
      <c r="AF894" s="32"/>
      <c r="AG894" s="32"/>
    </row>
    <row r="895" spans="2:33">
      <c r="B895" s="87"/>
      <c r="C895" s="88" t="s">
        <v>2289</v>
      </c>
      <c r="D895" s="88"/>
      <c r="E895" s="88"/>
      <c r="F895" s="56"/>
      <c r="G895" s="242"/>
      <c r="H895" s="294"/>
      <c r="I895" s="56"/>
      <c r="J895" s="56"/>
      <c r="K895" s="56"/>
      <c r="L895" s="56"/>
      <c r="M895" s="58"/>
      <c r="N895" s="32"/>
      <c r="O895" s="90"/>
      <c r="P895" s="60"/>
      <c r="Q895" s="56"/>
      <c r="R895" s="56"/>
      <c r="S895" s="56"/>
      <c r="T895" s="36"/>
      <c r="U895" s="36"/>
      <c r="V895" s="36"/>
      <c r="W895" s="36"/>
      <c r="X895" s="36"/>
      <c r="Y895" s="36"/>
      <c r="Z895" s="36"/>
      <c r="AA895" s="36"/>
      <c r="AB895" s="36"/>
      <c r="AC895" s="92"/>
      <c r="AD895" s="92"/>
      <c r="AE895" s="92"/>
      <c r="AF895" s="32"/>
      <c r="AG895" s="32"/>
    </row>
    <row r="896" spans="2:33">
      <c r="B896" s="113">
        <v>270</v>
      </c>
      <c r="C896" s="64" t="s">
        <v>2290</v>
      </c>
      <c r="D896" s="64" t="s">
        <v>2291</v>
      </c>
      <c r="E896" s="64"/>
      <c r="F896" s="66">
        <v>415</v>
      </c>
      <c r="G896" s="67" t="s">
        <v>611</v>
      </c>
      <c r="H896" s="278"/>
      <c r="I896" s="66" t="s">
        <v>244</v>
      </c>
      <c r="J896" s="66" t="s">
        <v>2292</v>
      </c>
      <c r="K896" s="66" t="s">
        <v>244</v>
      </c>
      <c r="L896" s="66" t="s">
        <v>380</v>
      </c>
      <c r="M896" s="93">
        <v>35032</v>
      </c>
      <c r="N896" s="32"/>
      <c r="O896" s="94">
        <v>171657</v>
      </c>
      <c r="P896" s="71"/>
      <c r="Q896" s="94"/>
      <c r="R896" s="94" t="s">
        <v>513</v>
      </c>
      <c r="S896" s="94" t="s">
        <v>2293</v>
      </c>
      <c r="T896" s="78">
        <v>17165.7</v>
      </c>
      <c r="U896" s="79">
        <v>36266</v>
      </c>
      <c r="V896" s="78"/>
      <c r="W896" s="79">
        <v>36237</v>
      </c>
      <c r="X896" s="78">
        <v>178663</v>
      </c>
      <c r="Y896" s="78"/>
      <c r="Z896" s="78"/>
      <c r="AA896" s="78"/>
      <c r="AB896" s="78"/>
      <c r="AC896" s="80">
        <v>36270</v>
      </c>
      <c r="AD896" s="92"/>
      <c r="AE896" s="92"/>
      <c r="AF896" s="32"/>
      <c r="AG896" s="32"/>
    </row>
    <row r="897" spans="2:33">
      <c r="B897" s="113">
        <v>271</v>
      </c>
      <c r="C897" s="64" t="s">
        <v>2294</v>
      </c>
      <c r="D897" s="64" t="s">
        <v>2295</v>
      </c>
      <c r="E897" s="64"/>
      <c r="F897" s="66">
        <v>381</v>
      </c>
      <c r="G897" s="67" t="s">
        <v>611</v>
      </c>
      <c r="H897" s="278"/>
      <c r="I897" s="66" t="s">
        <v>345</v>
      </c>
      <c r="J897" s="66" t="s">
        <v>2296</v>
      </c>
      <c r="K897" s="66" t="s">
        <v>345</v>
      </c>
      <c r="L897" s="66" t="s">
        <v>350</v>
      </c>
      <c r="M897" s="93">
        <v>46292.9</v>
      </c>
      <c r="N897" s="32"/>
      <c r="O897" s="94">
        <v>462929</v>
      </c>
      <c r="P897" s="71"/>
      <c r="Q897" s="66"/>
      <c r="R897" s="66" t="s">
        <v>346</v>
      </c>
      <c r="S897" s="66" t="s">
        <v>2297</v>
      </c>
      <c r="T897" s="78"/>
      <c r="U897" s="78"/>
      <c r="V897" s="78"/>
      <c r="W897" s="78"/>
      <c r="X897" s="78"/>
      <c r="Y897" s="78"/>
      <c r="Z897" s="78"/>
      <c r="AA897" s="78"/>
      <c r="AB897" s="78"/>
      <c r="AC897" s="96"/>
      <c r="AD897" s="92"/>
      <c r="AE897" s="92"/>
      <c r="AF897" s="32"/>
      <c r="AG897" s="32"/>
    </row>
    <row r="898" spans="2:33">
      <c r="B898" s="113">
        <v>272</v>
      </c>
      <c r="C898" s="64" t="s">
        <v>2298</v>
      </c>
      <c r="D898" s="64" t="s">
        <v>2299</v>
      </c>
      <c r="E898" s="64"/>
      <c r="F898" s="66">
        <v>240</v>
      </c>
      <c r="G898" s="67" t="s">
        <v>611</v>
      </c>
      <c r="H898" s="278"/>
      <c r="I898" s="66" t="s">
        <v>355</v>
      </c>
      <c r="J898" s="66" t="s">
        <v>2300</v>
      </c>
      <c r="K898" s="66" t="s">
        <v>355</v>
      </c>
      <c r="L898" s="66" t="s">
        <v>259</v>
      </c>
      <c r="M898" s="93">
        <v>6339.6</v>
      </c>
      <c r="N898" s="32"/>
      <c r="O898" s="94">
        <v>63396</v>
      </c>
      <c r="P898" s="71"/>
      <c r="Q898" s="66"/>
      <c r="R898" s="66" t="s">
        <v>359</v>
      </c>
      <c r="S898" s="66" t="s">
        <v>1766</v>
      </c>
      <c r="T898" s="78"/>
      <c r="U898" s="78"/>
      <c r="V898" s="78"/>
      <c r="W898" s="78"/>
      <c r="X898" s="78"/>
      <c r="Y898" s="78"/>
      <c r="Z898" s="78"/>
      <c r="AA898" s="78"/>
      <c r="AB898" s="78"/>
      <c r="AC898" s="96"/>
      <c r="AD898" s="92"/>
      <c r="AE898" s="92"/>
      <c r="AF898" s="32"/>
      <c r="AG898" s="32"/>
    </row>
    <row r="899" spans="2:33">
      <c r="B899" s="113">
        <v>273</v>
      </c>
      <c r="C899" s="64" t="s">
        <v>2301</v>
      </c>
      <c r="D899" s="64" t="s">
        <v>2302</v>
      </c>
      <c r="E899" s="64"/>
      <c r="F899" s="66">
        <v>470</v>
      </c>
      <c r="G899" s="67" t="s">
        <v>611</v>
      </c>
      <c r="H899" s="278"/>
      <c r="I899" s="66" t="s">
        <v>244</v>
      </c>
      <c r="J899" s="66" t="s">
        <v>2303</v>
      </c>
      <c r="K899" s="66" t="s">
        <v>244</v>
      </c>
      <c r="L899" s="66" t="s">
        <v>233</v>
      </c>
      <c r="M899" s="93">
        <v>61684.800000000003</v>
      </c>
      <c r="N899" s="32"/>
      <c r="O899" s="94">
        <v>616848</v>
      </c>
      <c r="P899" s="71"/>
      <c r="Q899" s="94" t="s">
        <v>234</v>
      </c>
      <c r="R899" s="94" t="s">
        <v>513</v>
      </c>
      <c r="S899" s="94" t="s">
        <v>2304</v>
      </c>
      <c r="T899" s="78"/>
      <c r="U899" s="78"/>
      <c r="V899" s="78"/>
      <c r="W899" s="78"/>
      <c r="X899" s="78"/>
      <c r="Y899" s="78"/>
      <c r="Z899" s="78"/>
      <c r="AA899" s="78"/>
      <c r="AB899" s="95"/>
      <c r="AC899" s="96"/>
      <c r="AD899" s="92"/>
      <c r="AE899" s="92"/>
      <c r="AF899" s="32"/>
      <c r="AG899" s="32"/>
    </row>
    <row r="900" spans="2:33">
      <c r="B900" s="113">
        <v>274</v>
      </c>
      <c r="C900" s="64" t="s">
        <v>2305</v>
      </c>
      <c r="D900" s="64" t="s">
        <v>2306</v>
      </c>
      <c r="E900" s="64"/>
      <c r="F900" s="66">
        <v>261</v>
      </c>
      <c r="G900" s="67" t="s">
        <v>611</v>
      </c>
      <c r="H900" s="278"/>
      <c r="I900" s="66" t="s">
        <v>436</v>
      </c>
      <c r="J900" s="66" t="s">
        <v>2307</v>
      </c>
      <c r="K900" s="66" t="s">
        <v>436</v>
      </c>
      <c r="L900" s="66" t="s">
        <v>259</v>
      </c>
      <c r="M900" s="93">
        <v>6896.8</v>
      </c>
      <c r="N900" s="32"/>
      <c r="O900" s="94">
        <v>68968</v>
      </c>
      <c r="P900" s="71"/>
      <c r="Q900" s="66"/>
      <c r="R900" s="66" t="s">
        <v>496</v>
      </c>
      <c r="S900" s="66" t="s">
        <v>1883</v>
      </c>
      <c r="T900" s="78"/>
      <c r="U900" s="78"/>
      <c r="V900" s="78"/>
      <c r="W900" s="78"/>
      <c r="X900" s="78"/>
      <c r="Y900" s="78"/>
      <c r="Z900" s="78"/>
      <c r="AA900" s="78"/>
      <c r="AB900" s="78"/>
      <c r="AC900" s="96"/>
      <c r="AD900" s="92"/>
      <c r="AE900" s="92"/>
      <c r="AF900" s="32" t="s">
        <v>2308</v>
      </c>
      <c r="AG900" s="32"/>
    </row>
    <row r="901" spans="2:33">
      <c r="B901" s="113">
        <v>275</v>
      </c>
      <c r="C901" s="64" t="s">
        <v>2309</v>
      </c>
      <c r="D901" s="64" t="s">
        <v>2310</v>
      </c>
      <c r="E901" s="64"/>
      <c r="F901" s="63">
        <v>210</v>
      </c>
      <c r="G901" s="67" t="s">
        <v>611</v>
      </c>
      <c r="H901" s="278"/>
      <c r="I901" s="63" t="s">
        <v>406</v>
      </c>
      <c r="J901" s="63" t="s">
        <v>2311</v>
      </c>
      <c r="K901" s="63" t="s">
        <v>406</v>
      </c>
      <c r="L901" s="63" t="s">
        <v>233</v>
      </c>
      <c r="M901" s="226">
        <v>5039.7</v>
      </c>
      <c r="N901" s="32"/>
      <c r="O901" s="103">
        <v>112646</v>
      </c>
      <c r="P901" s="71"/>
      <c r="Q901" s="66"/>
      <c r="R901" s="66" t="s">
        <v>407</v>
      </c>
      <c r="S901" s="66"/>
      <c r="T901" s="78"/>
      <c r="U901" s="78"/>
      <c r="V901" s="78"/>
      <c r="W901" s="78"/>
      <c r="X901" s="78"/>
      <c r="Y901" s="78"/>
      <c r="Z901" s="78"/>
      <c r="AA901" s="78"/>
      <c r="AB901" s="78"/>
      <c r="AC901" s="96"/>
      <c r="AD901" s="92"/>
      <c r="AE901" s="92"/>
      <c r="AF901" s="32" t="s">
        <v>2312</v>
      </c>
      <c r="AG901" s="32"/>
    </row>
    <row r="902" spans="2:33">
      <c r="B902" s="113">
        <v>276</v>
      </c>
      <c r="C902" s="64" t="s">
        <v>2313</v>
      </c>
      <c r="D902" s="64" t="s">
        <v>1041</v>
      </c>
      <c r="E902" s="64"/>
      <c r="F902" s="66">
        <v>266</v>
      </c>
      <c r="G902" s="67" t="s">
        <v>611</v>
      </c>
      <c r="H902" s="278"/>
      <c r="I902" s="66" t="s">
        <v>422</v>
      </c>
      <c r="J902" s="66" t="s">
        <v>2314</v>
      </c>
      <c r="K902" s="66" t="s">
        <v>422</v>
      </c>
      <c r="L902" s="66" t="s">
        <v>380</v>
      </c>
      <c r="M902" s="93">
        <v>5741.7</v>
      </c>
      <c r="N902" s="32"/>
      <c r="O902" s="94">
        <v>114834</v>
      </c>
      <c r="P902" s="71"/>
      <c r="Q902" s="94"/>
      <c r="R902" s="94" t="s">
        <v>423</v>
      </c>
      <c r="S902" s="94" t="s">
        <v>2315</v>
      </c>
      <c r="T902" s="251">
        <v>86</v>
      </c>
      <c r="U902" s="79">
        <v>36298</v>
      </c>
      <c r="V902" s="78"/>
      <c r="W902" s="79">
        <v>36265</v>
      </c>
      <c r="X902" s="78"/>
      <c r="Y902" s="78">
        <v>57417</v>
      </c>
      <c r="Z902" s="78">
        <v>29856</v>
      </c>
      <c r="AA902" s="79">
        <v>36132</v>
      </c>
      <c r="AB902" s="78">
        <v>853</v>
      </c>
      <c r="AC902" s="80">
        <v>36178</v>
      </c>
      <c r="AD902" s="92"/>
      <c r="AE902" s="92"/>
      <c r="AF902" s="32"/>
      <c r="AG902" s="32"/>
    </row>
    <row r="903" spans="2:33">
      <c r="B903" s="113">
        <v>277</v>
      </c>
      <c r="C903" s="64" t="s">
        <v>2316</v>
      </c>
      <c r="D903" s="64" t="s">
        <v>2317</v>
      </c>
      <c r="E903" s="64"/>
      <c r="F903" s="66">
        <v>439</v>
      </c>
      <c r="G903" s="67" t="s">
        <v>611</v>
      </c>
      <c r="H903" s="278"/>
      <c r="I903" s="66" t="s">
        <v>422</v>
      </c>
      <c r="J903" s="66" t="s">
        <v>2318</v>
      </c>
      <c r="K903" s="66" t="s">
        <v>422</v>
      </c>
      <c r="L903" s="66" t="s">
        <v>233</v>
      </c>
      <c r="M903" s="93">
        <v>20779.099999999999</v>
      </c>
      <c r="N903" s="32"/>
      <c r="O903" s="94">
        <v>207791</v>
      </c>
      <c r="P903" s="71"/>
      <c r="Q903" s="94"/>
      <c r="R903" s="94" t="s">
        <v>423</v>
      </c>
      <c r="S903" s="94" t="s">
        <v>307</v>
      </c>
      <c r="T903" s="78"/>
      <c r="U903" s="78"/>
      <c r="V903" s="78"/>
      <c r="W903" s="78"/>
      <c r="X903" s="78"/>
      <c r="Y903" s="78"/>
      <c r="Z903" s="78">
        <v>105974</v>
      </c>
      <c r="AA903" s="79">
        <v>35804</v>
      </c>
      <c r="AB903" s="78">
        <v>13</v>
      </c>
      <c r="AC903" s="80">
        <v>35828</v>
      </c>
      <c r="AD903" s="75"/>
      <c r="AE903" s="75"/>
      <c r="AF903" s="32" t="s">
        <v>2319</v>
      </c>
      <c r="AG903" s="32"/>
    </row>
    <row r="904" spans="2:33">
      <c r="B904" s="113">
        <v>278</v>
      </c>
      <c r="C904" s="64" t="s">
        <v>2320</v>
      </c>
      <c r="D904" s="64" t="s">
        <v>2321</v>
      </c>
      <c r="E904" s="64"/>
      <c r="F904" s="66">
        <v>344</v>
      </c>
      <c r="G904" s="67" t="s">
        <v>611</v>
      </c>
      <c r="H904" s="278"/>
      <c r="I904" s="66" t="s">
        <v>328</v>
      </c>
      <c r="J904" s="66" t="s">
        <v>2322</v>
      </c>
      <c r="K904" s="66" t="s">
        <v>328</v>
      </c>
      <c r="L904" s="66" t="s">
        <v>380</v>
      </c>
      <c r="M904" s="93">
        <v>24287.200000000001</v>
      </c>
      <c r="N904" s="32"/>
      <c r="O904" s="94">
        <v>97149</v>
      </c>
      <c r="P904" s="71"/>
      <c r="Q904" s="66"/>
      <c r="R904" s="66"/>
      <c r="S904" s="66"/>
      <c r="T904" s="78"/>
      <c r="U904" s="78"/>
      <c r="V904" s="78"/>
      <c r="W904" s="78"/>
      <c r="X904" s="78"/>
      <c r="Y904" s="78"/>
      <c r="Z904" s="78"/>
      <c r="AA904" s="78"/>
      <c r="AB904" s="78"/>
      <c r="AC904" s="96"/>
      <c r="AD904" s="92"/>
      <c r="AE904" s="92"/>
      <c r="AF904" s="32" t="s">
        <v>2323</v>
      </c>
      <c r="AG904" s="32"/>
    </row>
    <row r="905" spans="2:33">
      <c r="B905" s="113">
        <v>279</v>
      </c>
      <c r="C905" s="64" t="s">
        <v>2324</v>
      </c>
      <c r="D905" s="64" t="s">
        <v>2325</v>
      </c>
      <c r="E905" s="64"/>
      <c r="F905" s="66">
        <v>422</v>
      </c>
      <c r="G905" s="67" t="s">
        <v>611</v>
      </c>
      <c r="H905" s="278"/>
      <c r="I905" s="66" t="s">
        <v>503</v>
      </c>
      <c r="J905" s="66" t="s">
        <v>2326</v>
      </c>
      <c r="K905" s="66" t="s">
        <v>503</v>
      </c>
      <c r="L905" s="66" t="s">
        <v>380</v>
      </c>
      <c r="M905" s="93">
        <v>9732.2000000000007</v>
      </c>
      <c r="N905" s="32"/>
      <c r="O905" s="94">
        <v>97322</v>
      </c>
      <c r="P905" s="71"/>
      <c r="Q905" s="94"/>
      <c r="R905" s="94" t="s">
        <v>504</v>
      </c>
      <c r="S905" s="94" t="s">
        <v>2327</v>
      </c>
      <c r="T905" s="78"/>
      <c r="U905" s="78"/>
      <c r="V905" s="78"/>
      <c r="W905" s="78"/>
      <c r="X905" s="78"/>
      <c r="Y905" s="78"/>
      <c r="Z905" s="78">
        <v>21357</v>
      </c>
      <c r="AA905" s="79">
        <v>35727</v>
      </c>
      <c r="AB905" s="78">
        <v>619</v>
      </c>
      <c r="AC905" s="80">
        <v>35828</v>
      </c>
      <c r="AD905" s="75"/>
      <c r="AE905" s="75"/>
      <c r="AF905" s="32" t="s">
        <v>2328</v>
      </c>
      <c r="AG905" s="32"/>
    </row>
    <row r="906" spans="2:33">
      <c r="B906" s="113">
        <v>280</v>
      </c>
      <c r="C906" s="64" t="s">
        <v>2329</v>
      </c>
      <c r="D906" s="64" t="s">
        <v>2330</v>
      </c>
      <c r="E906" s="64"/>
      <c r="F906" s="66">
        <v>155</v>
      </c>
      <c r="G906" s="67" t="s">
        <v>611</v>
      </c>
      <c r="H906" s="278"/>
      <c r="I906" s="66" t="s">
        <v>436</v>
      </c>
      <c r="J906" s="66" t="s">
        <v>2331</v>
      </c>
      <c r="K906" s="66" t="s">
        <v>436</v>
      </c>
      <c r="L906" s="66" t="s">
        <v>233</v>
      </c>
      <c r="M906" s="93">
        <v>8060.1</v>
      </c>
      <c r="N906" s="32"/>
      <c r="O906" s="94">
        <v>80601</v>
      </c>
      <c r="P906" s="71">
        <v>41106</v>
      </c>
      <c r="Q906" s="94" t="s">
        <v>759</v>
      </c>
      <c r="R906" s="94" t="s">
        <v>496</v>
      </c>
      <c r="S906" s="94" t="s">
        <v>916</v>
      </c>
      <c r="T906" s="78"/>
      <c r="U906" s="78"/>
      <c r="V906" s="78"/>
      <c r="W906" s="78"/>
      <c r="X906" s="78"/>
      <c r="Y906" s="78"/>
      <c r="Z906" s="78"/>
      <c r="AA906" s="78"/>
      <c r="AB906" s="95"/>
      <c r="AC906" s="96"/>
      <c r="AD906" s="92"/>
      <c r="AE906" s="92"/>
      <c r="AF906" s="32"/>
      <c r="AG906" s="32"/>
    </row>
    <row r="907" spans="2:33">
      <c r="B907" s="113">
        <v>281</v>
      </c>
      <c r="C907" s="64" t="s">
        <v>2332</v>
      </c>
      <c r="D907" s="64" t="s">
        <v>2333</v>
      </c>
      <c r="E907" s="64"/>
      <c r="F907" s="66">
        <v>122</v>
      </c>
      <c r="G907" s="67" t="s">
        <v>611</v>
      </c>
      <c r="H907" s="278"/>
      <c r="I907" s="66" t="s">
        <v>503</v>
      </c>
      <c r="J907" s="66" t="s">
        <v>2334</v>
      </c>
      <c r="K907" s="66" t="s">
        <v>503</v>
      </c>
      <c r="L907" s="66" t="s">
        <v>245</v>
      </c>
      <c r="M907" s="93">
        <v>5277.7</v>
      </c>
      <c r="N907" s="32"/>
      <c r="O907" s="94">
        <v>52777</v>
      </c>
      <c r="P907" s="71"/>
      <c r="Q907" s="94"/>
      <c r="R907" s="94" t="s">
        <v>504</v>
      </c>
      <c r="S907" s="94" t="s">
        <v>598</v>
      </c>
      <c r="T907" s="78"/>
      <c r="U907" s="78"/>
      <c r="V907" s="78"/>
      <c r="W907" s="78"/>
      <c r="X907" s="78"/>
      <c r="Y907" s="78"/>
      <c r="Z907" s="78">
        <v>31666</v>
      </c>
      <c r="AA907" s="79">
        <v>35727</v>
      </c>
      <c r="AB907" s="78">
        <v>607</v>
      </c>
      <c r="AC907" s="80">
        <v>35828</v>
      </c>
      <c r="AD907" s="92"/>
      <c r="AE907" s="92"/>
      <c r="AF907" s="32"/>
      <c r="AG907" s="32"/>
    </row>
    <row r="908" spans="2:33">
      <c r="B908" s="87"/>
      <c r="C908" s="88"/>
      <c r="D908" s="88"/>
      <c r="E908" s="88"/>
      <c r="F908" s="56"/>
      <c r="G908" s="242"/>
      <c r="H908" s="294"/>
      <c r="I908" s="56"/>
      <c r="J908" s="56"/>
      <c r="K908" s="56"/>
      <c r="L908" s="56"/>
      <c r="M908" s="58"/>
      <c r="N908" s="32"/>
      <c r="O908" s="90"/>
      <c r="P908" s="60"/>
      <c r="Q908" s="56"/>
      <c r="R908" s="56"/>
      <c r="S908" s="56"/>
      <c r="T908" s="36"/>
      <c r="U908" s="36"/>
      <c r="V908" s="36"/>
      <c r="W908" s="36"/>
      <c r="X908" s="36"/>
      <c r="Y908" s="36"/>
      <c r="Z908" s="36"/>
      <c r="AA908" s="36"/>
      <c r="AB908" s="36"/>
      <c r="AC908" s="92"/>
      <c r="AD908" s="92"/>
      <c r="AE908" s="92"/>
      <c r="AF908" s="32"/>
      <c r="AG908" s="32"/>
    </row>
    <row r="909" spans="2:33">
      <c r="B909" s="87"/>
      <c r="C909" s="88" t="s">
        <v>2335</v>
      </c>
      <c r="D909" s="88"/>
      <c r="E909" s="88"/>
      <c r="F909" s="56"/>
      <c r="G909" s="242"/>
      <c r="H909" s="294"/>
      <c r="I909" s="56"/>
      <c r="J909" s="56"/>
      <c r="K909" s="56"/>
      <c r="L909" s="56"/>
      <c r="M909" s="58"/>
      <c r="N909" s="32"/>
      <c r="O909" s="90"/>
      <c r="P909" s="60"/>
      <c r="Q909" s="56"/>
      <c r="R909" s="56"/>
      <c r="S909" s="56"/>
      <c r="T909" s="36"/>
      <c r="U909" s="36"/>
      <c r="V909" s="36"/>
      <c r="W909" s="36"/>
      <c r="X909" s="36"/>
      <c r="Y909" s="36"/>
      <c r="Z909" s="36"/>
      <c r="AA909" s="36"/>
      <c r="AB909" s="36"/>
      <c r="AC909" s="92"/>
      <c r="AD909" s="92"/>
      <c r="AE909" s="92"/>
      <c r="AF909" s="32"/>
      <c r="AG909" s="32"/>
    </row>
    <row r="910" spans="2:33">
      <c r="B910" s="63">
        <v>282</v>
      </c>
      <c r="C910" s="64" t="s">
        <v>2336</v>
      </c>
      <c r="D910" s="64" t="s">
        <v>2337</v>
      </c>
      <c r="E910" s="64"/>
      <c r="F910" s="66">
        <v>198</v>
      </c>
      <c r="G910" s="67" t="s">
        <v>2338</v>
      </c>
      <c r="H910" s="278"/>
      <c r="I910" s="66" t="s">
        <v>232</v>
      </c>
      <c r="J910" s="66" t="s">
        <v>2339</v>
      </c>
      <c r="K910" s="66" t="s">
        <v>232</v>
      </c>
      <c r="L910" s="66" t="s">
        <v>245</v>
      </c>
      <c r="M910" s="93">
        <v>8685</v>
      </c>
      <c r="N910" s="32"/>
      <c r="O910" s="94">
        <v>86850</v>
      </c>
      <c r="P910" s="71"/>
      <c r="Q910" s="94"/>
      <c r="R910" s="94" t="s">
        <v>323</v>
      </c>
      <c r="S910" s="94" t="s">
        <v>1856</v>
      </c>
      <c r="T910" s="78">
        <v>130464.4</v>
      </c>
      <c r="U910" s="79">
        <v>35634</v>
      </c>
      <c r="V910" s="78"/>
      <c r="W910" s="78"/>
      <c r="X910" s="78"/>
      <c r="Y910" s="78"/>
      <c r="Z910" s="78">
        <v>34740</v>
      </c>
      <c r="AA910" s="79">
        <v>36146</v>
      </c>
      <c r="AB910" s="78">
        <v>871</v>
      </c>
      <c r="AC910" s="80">
        <v>36159</v>
      </c>
      <c r="AD910" s="75"/>
      <c r="AE910" s="75"/>
      <c r="AF910" s="32" t="s">
        <v>2340</v>
      </c>
      <c r="AG910" s="32"/>
    </row>
    <row r="911" spans="2:33">
      <c r="B911" s="87"/>
      <c r="C911" s="88"/>
      <c r="D911" s="88"/>
      <c r="E911" s="88"/>
      <c r="F911" s="56"/>
      <c r="G911" s="242"/>
      <c r="H911" s="294"/>
      <c r="I911" s="56"/>
      <c r="J911" s="56"/>
      <c r="K911" s="56"/>
      <c r="L911" s="56"/>
      <c r="M911" s="58"/>
      <c r="N911" s="32"/>
      <c r="O911" s="90"/>
      <c r="P911" s="60"/>
      <c r="Q911" s="56"/>
      <c r="R911" s="56"/>
      <c r="S911" s="56"/>
      <c r="T911" s="36"/>
      <c r="U911" s="36"/>
      <c r="V911" s="36"/>
      <c r="W911" s="36"/>
      <c r="X911" s="36"/>
      <c r="Y911" s="36"/>
      <c r="Z911" s="36"/>
      <c r="AA911" s="36"/>
      <c r="AB911" s="36"/>
      <c r="AC911" s="92"/>
      <c r="AD911" s="92"/>
      <c r="AE911" s="92"/>
      <c r="AF911" s="32"/>
      <c r="AG911" s="32"/>
    </row>
    <row r="912" spans="2:33">
      <c r="B912" s="87"/>
      <c r="C912" s="88" t="s">
        <v>2341</v>
      </c>
      <c r="D912" s="88"/>
      <c r="E912" s="88"/>
      <c r="F912" s="56"/>
      <c r="G912" s="242"/>
      <c r="H912" s="294"/>
      <c r="I912" s="56"/>
      <c r="J912" s="56"/>
      <c r="K912" s="56"/>
      <c r="L912" s="56"/>
      <c r="M912" s="58"/>
      <c r="N912" s="32"/>
      <c r="O912" s="90"/>
      <c r="P912" s="60"/>
      <c r="Q912" s="56"/>
      <c r="R912" s="56"/>
      <c r="S912" s="56"/>
      <c r="T912" s="36"/>
      <c r="U912" s="36"/>
      <c r="V912" s="36"/>
      <c r="W912" s="36"/>
      <c r="X912" s="36"/>
      <c r="Y912" s="36"/>
      <c r="Z912" s="36"/>
      <c r="AA912" s="36"/>
      <c r="AB912" s="36"/>
      <c r="AC912" s="92"/>
      <c r="AD912" s="92"/>
      <c r="AE912" s="92"/>
      <c r="AF912" s="32"/>
      <c r="AG912" s="32"/>
    </row>
    <row r="913" spans="2:33">
      <c r="B913" s="113">
        <v>283</v>
      </c>
      <c r="C913" s="64" t="s">
        <v>2342</v>
      </c>
      <c r="D913" s="64" t="s">
        <v>2343</v>
      </c>
      <c r="E913" s="64"/>
      <c r="F913" s="66">
        <v>367</v>
      </c>
      <c r="G913" s="67" t="s">
        <v>2344</v>
      </c>
      <c r="H913" s="278"/>
      <c r="I913" s="66" t="s">
        <v>244</v>
      </c>
      <c r="J913" s="66" t="s">
        <v>2345</v>
      </c>
      <c r="K913" s="66" t="s">
        <v>244</v>
      </c>
      <c r="L913" s="66" t="s">
        <v>245</v>
      </c>
      <c r="M913" s="93">
        <v>66857.2</v>
      </c>
      <c r="N913" s="32"/>
      <c r="O913" s="94">
        <v>668572</v>
      </c>
      <c r="P913" s="71"/>
      <c r="Q913" s="94"/>
      <c r="R913" s="94" t="s">
        <v>513</v>
      </c>
      <c r="S913" s="94" t="s">
        <v>2346</v>
      </c>
      <c r="T913" s="78"/>
      <c r="U913" s="78"/>
      <c r="V913" s="78"/>
      <c r="W913" s="78"/>
      <c r="X913" s="78"/>
      <c r="Y913" s="78"/>
      <c r="Z913" s="78">
        <v>340972</v>
      </c>
      <c r="AA913" s="79">
        <v>36167</v>
      </c>
      <c r="AB913" s="78">
        <v>6</v>
      </c>
      <c r="AC913" s="80">
        <v>36182</v>
      </c>
      <c r="AD913" s="75"/>
      <c r="AE913" s="75"/>
      <c r="AF913" s="32"/>
      <c r="AG913" s="32"/>
    </row>
    <row r="914" spans="2:33">
      <c r="B914" s="87"/>
      <c r="C914" s="88"/>
      <c r="D914" s="88"/>
      <c r="E914" s="88"/>
      <c r="F914" s="56"/>
      <c r="G914" s="242"/>
      <c r="H914" s="294"/>
      <c r="I914" s="56"/>
      <c r="J914" s="56"/>
      <c r="K914" s="56"/>
      <c r="L914" s="56"/>
      <c r="M914" s="58"/>
      <c r="N914" s="32"/>
      <c r="O914" s="90"/>
      <c r="P914" s="60"/>
      <c r="Q914" s="56"/>
      <c r="R914" s="56"/>
      <c r="S914" s="56"/>
      <c r="T914" s="36"/>
      <c r="U914" s="36"/>
      <c r="V914" s="36"/>
      <c r="W914" s="36"/>
      <c r="X914" s="36"/>
      <c r="Y914" s="36"/>
      <c r="Z914" s="36"/>
      <c r="AA914" s="36"/>
      <c r="AB914" s="36"/>
      <c r="AC914" s="92"/>
      <c r="AD914" s="92"/>
      <c r="AE914" s="92"/>
      <c r="AF914" s="32"/>
      <c r="AG914" s="32"/>
    </row>
    <row r="915" spans="2:33">
      <c r="B915" s="87"/>
      <c r="C915" s="88" t="s">
        <v>2347</v>
      </c>
      <c r="D915" s="88"/>
      <c r="E915" s="88"/>
      <c r="F915" s="56"/>
      <c r="G915" s="242"/>
      <c r="H915" s="294"/>
      <c r="I915" s="56"/>
      <c r="J915" s="56"/>
      <c r="K915" s="56"/>
      <c r="L915" s="56"/>
      <c r="M915" s="58"/>
      <c r="N915" s="32"/>
      <c r="O915" s="90"/>
      <c r="P915" s="60"/>
      <c r="Q915" s="56"/>
      <c r="R915" s="56"/>
      <c r="S915" s="56"/>
      <c r="T915" s="36"/>
      <c r="U915" s="36"/>
      <c r="V915" s="36"/>
      <c r="W915" s="36"/>
      <c r="X915" s="36"/>
      <c r="Y915" s="36"/>
      <c r="Z915" s="36"/>
      <c r="AA915" s="36"/>
      <c r="AB915" s="36"/>
      <c r="AC915" s="92"/>
      <c r="AD915" s="92"/>
      <c r="AE915" s="92"/>
      <c r="AF915" s="32"/>
      <c r="AG915" s="32"/>
    </row>
    <row r="916" spans="2:33">
      <c r="B916" s="113">
        <v>284</v>
      </c>
      <c r="C916" s="64" t="s">
        <v>2348</v>
      </c>
      <c r="D916" s="64" t="s">
        <v>2349</v>
      </c>
      <c r="E916" s="64"/>
      <c r="F916" s="66">
        <v>147</v>
      </c>
      <c r="G916" s="67" t="s">
        <v>2350</v>
      </c>
      <c r="H916" s="278"/>
      <c r="I916" s="66" t="s">
        <v>232</v>
      </c>
      <c r="J916" s="66" t="s">
        <v>2351</v>
      </c>
      <c r="K916" s="66" t="s">
        <v>232</v>
      </c>
      <c r="L916" s="66" t="s">
        <v>259</v>
      </c>
      <c r="M916" s="93">
        <v>15685.7</v>
      </c>
      <c r="N916" s="32"/>
      <c r="O916" s="94">
        <v>156857</v>
      </c>
      <c r="P916" s="71"/>
      <c r="Q916" s="66"/>
      <c r="R916" s="66" t="s">
        <v>292</v>
      </c>
      <c r="S916" s="66"/>
      <c r="T916" s="78"/>
      <c r="U916" s="78"/>
      <c r="V916" s="78"/>
      <c r="W916" s="78"/>
      <c r="X916" s="78"/>
      <c r="Y916" s="78"/>
      <c r="Z916" s="78"/>
      <c r="AA916" s="78"/>
      <c r="AB916" s="78"/>
      <c r="AC916" s="96"/>
      <c r="AD916" s="92"/>
      <c r="AE916" s="92"/>
      <c r="AF916" s="32"/>
      <c r="AG916" s="32"/>
    </row>
    <row r="917" spans="2:33">
      <c r="B917" s="87"/>
      <c r="C917" s="88"/>
      <c r="D917" s="88"/>
      <c r="E917" s="88"/>
      <c r="F917" s="56"/>
      <c r="G917" s="242"/>
      <c r="H917" s="294"/>
      <c r="I917" s="56"/>
      <c r="J917" s="56"/>
      <c r="K917" s="56"/>
      <c r="L917" s="56"/>
      <c r="M917" s="58"/>
      <c r="N917" s="32"/>
      <c r="O917" s="90"/>
      <c r="P917" s="60"/>
      <c r="Q917" s="56"/>
      <c r="R917" s="56"/>
      <c r="S917" s="56"/>
      <c r="T917" s="36"/>
      <c r="U917" s="36"/>
      <c r="V917" s="36"/>
      <c r="W917" s="36"/>
      <c r="X917" s="36"/>
      <c r="Y917" s="36"/>
      <c r="Z917" s="36"/>
      <c r="AA917" s="36"/>
      <c r="AB917" s="36"/>
      <c r="AC917" s="92"/>
      <c r="AD917" s="92"/>
      <c r="AE917" s="92"/>
      <c r="AF917" s="32"/>
      <c r="AG917" s="32"/>
    </row>
    <row r="918" spans="2:33">
      <c r="B918" s="87"/>
      <c r="C918" s="88" t="s">
        <v>2352</v>
      </c>
      <c r="D918" s="88"/>
      <c r="E918" s="88"/>
      <c r="F918" s="56"/>
      <c r="G918" s="242"/>
      <c r="H918" s="294"/>
      <c r="I918" s="56"/>
      <c r="J918" s="56"/>
      <c r="K918" s="56"/>
      <c r="L918" s="56"/>
      <c r="M918" s="58"/>
      <c r="N918" s="32"/>
      <c r="O918" s="90"/>
      <c r="P918" s="60"/>
      <c r="Q918" s="56"/>
      <c r="R918" s="56"/>
      <c r="S918" s="56"/>
      <c r="T918" s="36"/>
      <c r="U918" s="36"/>
      <c r="V918" s="36"/>
      <c r="W918" s="36"/>
      <c r="X918" s="36"/>
      <c r="Y918" s="36"/>
      <c r="Z918" s="36"/>
      <c r="AA918" s="36"/>
      <c r="AB918" s="36"/>
      <c r="AC918" s="92"/>
      <c r="AD918" s="92"/>
      <c r="AE918" s="92"/>
      <c r="AF918" s="32"/>
      <c r="AG918" s="32"/>
    </row>
    <row r="919" spans="2:33">
      <c r="B919" s="113">
        <v>285</v>
      </c>
      <c r="C919" s="64" t="s">
        <v>2353</v>
      </c>
      <c r="D919" s="64" t="s">
        <v>2354</v>
      </c>
      <c r="E919" s="64"/>
      <c r="F919" s="66">
        <v>39</v>
      </c>
      <c r="G919" s="67" t="s">
        <v>2355</v>
      </c>
      <c r="H919" s="278"/>
      <c r="I919" s="66" t="s">
        <v>232</v>
      </c>
      <c r="J919" s="66" t="s">
        <v>2356</v>
      </c>
      <c r="K919" s="66" t="s">
        <v>232</v>
      </c>
      <c r="L919" s="66" t="s">
        <v>350</v>
      </c>
      <c r="M919" s="93">
        <v>49400</v>
      </c>
      <c r="N919" s="32"/>
      <c r="O919" s="94">
        <v>494000</v>
      </c>
      <c r="P919" s="71"/>
      <c r="Q919" s="66"/>
      <c r="R919" s="66" t="s">
        <v>292</v>
      </c>
      <c r="S919" s="66" t="s">
        <v>2357</v>
      </c>
      <c r="T919" s="78"/>
      <c r="U919" s="78"/>
      <c r="V919" s="78"/>
      <c r="W919" s="78"/>
      <c r="X919" s="78"/>
      <c r="Y919" s="78"/>
      <c r="Z919" s="78">
        <v>251940</v>
      </c>
      <c r="AA919" s="142">
        <v>35418</v>
      </c>
      <c r="AB919" s="78">
        <v>82</v>
      </c>
      <c r="AC919" s="80">
        <v>35828</v>
      </c>
      <c r="AD919" s="75"/>
      <c r="AE919" s="75" t="s">
        <v>2358</v>
      </c>
      <c r="AF919" s="32" t="s">
        <v>2359</v>
      </c>
      <c r="AG919" s="32"/>
    </row>
    <row r="920" spans="2:33">
      <c r="B920" s="113"/>
      <c r="C920" s="64"/>
      <c r="D920" s="64"/>
      <c r="E920" s="64"/>
      <c r="F920" s="66"/>
      <c r="G920" s="67"/>
      <c r="H920" s="278"/>
      <c r="I920" s="66"/>
      <c r="J920" s="66"/>
      <c r="K920" s="66"/>
      <c r="L920" s="66"/>
      <c r="M920" s="93"/>
      <c r="N920" s="32"/>
      <c r="O920" s="94"/>
      <c r="P920" s="71"/>
      <c r="Q920" s="66"/>
      <c r="R920" s="66"/>
      <c r="S920" s="66"/>
      <c r="T920" s="78"/>
      <c r="U920" s="78"/>
      <c r="V920" s="78"/>
      <c r="W920" s="78"/>
      <c r="X920" s="78"/>
      <c r="Y920" s="78"/>
      <c r="Z920" s="78"/>
      <c r="AA920" s="142"/>
      <c r="AB920" s="78"/>
      <c r="AC920" s="80"/>
      <c r="AD920" s="75"/>
      <c r="AE920" s="75"/>
      <c r="AF920" s="32"/>
      <c r="AG920" s="32"/>
    </row>
    <row r="921" spans="2:33">
      <c r="B921" s="87"/>
      <c r="C921" s="88" t="s">
        <v>2360</v>
      </c>
      <c r="D921" s="88"/>
      <c r="E921" s="88"/>
      <c r="F921" s="56"/>
      <c r="G921" s="242"/>
      <c r="H921" s="294"/>
      <c r="I921" s="56"/>
      <c r="J921" s="56"/>
      <c r="K921" s="56"/>
      <c r="L921" s="56"/>
      <c r="M921" s="58"/>
      <c r="N921" s="32"/>
      <c r="O921" s="90"/>
      <c r="P921" s="60"/>
      <c r="Q921" s="56"/>
      <c r="R921" s="56"/>
      <c r="S921" s="56"/>
      <c r="T921" s="36"/>
      <c r="U921" s="36"/>
      <c r="V921" s="36"/>
      <c r="W921" s="36"/>
      <c r="X921" s="36"/>
      <c r="Y921" s="36"/>
      <c r="Z921" s="36"/>
      <c r="AA921" s="36"/>
      <c r="AB921" s="36"/>
      <c r="AC921" s="92"/>
      <c r="AD921" s="92"/>
      <c r="AE921" s="92"/>
      <c r="AF921" s="32"/>
      <c r="AG921" s="32"/>
    </row>
    <row r="922" spans="2:33">
      <c r="B922" s="63">
        <v>286</v>
      </c>
      <c r="C922" s="64" t="s">
        <v>2361</v>
      </c>
      <c r="D922" s="64" t="s">
        <v>2362</v>
      </c>
      <c r="E922" s="64"/>
      <c r="F922" s="66">
        <v>288</v>
      </c>
      <c r="G922" s="67" t="s">
        <v>2363</v>
      </c>
      <c r="H922" s="278"/>
      <c r="I922" s="66" t="s">
        <v>422</v>
      </c>
      <c r="J922" s="66" t="s">
        <v>2364</v>
      </c>
      <c r="K922" s="66" t="s">
        <v>422</v>
      </c>
      <c r="L922" s="66" t="s">
        <v>259</v>
      </c>
      <c r="M922" s="93">
        <v>5783.5</v>
      </c>
      <c r="N922" s="32"/>
      <c r="O922" s="94">
        <v>57835</v>
      </c>
      <c r="P922" s="71"/>
      <c r="Q922" s="66"/>
      <c r="R922" s="66" t="s">
        <v>423</v>
      </c>
      <c r="S922" s="66" t="s">
        <v>1254</v>
      </c>
      <c r="T922" s="78"/>
      <c r="U922" s="78"/>
      <c r="V922" s="78"/>
      <c r="W922" s="78"/>
      <c r="X922" s="78"/>
      <c r="Y922" s="78"/>
      <c r="Z922" s="78"/>
      <c r="AA922" s="78"/>
      <c r="AB922" s="78"/>
      <c r="AC922" s="96"/>
      <c r="AD922" s="92"/>
      <c r="AE922" s="92" t="s">
        <v>2365</v>
      </c>
      <c r="AF922" s="32"/>
      <c r="AG922" s="32"/>
    </row>
    <row r="923" spans="2:33">
      <c r="B923" s="111"/>
      <c r="C923" s="32"/>
      <c r="D923" s="32"/>
      <c r="E923" s="32"/>
      <c r="F923" s="32"/>
      <c r="G923" s="32"/>
      <c r="H923" s="196"/>
      <c r="I923" s="32"/>
      <c r="J923" s="32"/>
      <c r="K923" s="32"/>
      <c r="L923" s="32"/>
      <c r="M923" s="190"/>
      <c r="N923" s="32"/>
      <c r="O923" s="32"/>
      <c r="P923" s="17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</row>
    <row r="924" spans="2:33">
      <c r="B924" s="111"/>
      <c r="C924" s="88" t="s">
        <v>2366</v>
      </c>
      <c r="D924" s="32"/>
      <c r="E924" s="32"/>
      <c r="F924" s="32"/>
      <c r="G924" s="32"/>
      <c r="H924" s="196"/>
      <c r="I924" s="32"/>
      <c r="J924" s="32"/>
      <c r="K924" s="32"/>
      <c r="L924" s="32"/>
      <c r="M924" s="190"/>
      <c r="N924" s="32"/>
      <c r="O924" s="32"/>
      <c r="P924" s="17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</row>
    <row r="925" spans="2:33">
      <c r="B925" s="113">
        <v>287</v>
      </c>
      <c r="C925" s="64" t="s">
        <v>2367</v>
      </c>
      <c r="D925" s="64" t="s">
        <v>2368</v>
      </c>
      <c r="E925" s="64"/>
      <c r="F925" s="66">
        <v>412</v>
      </c>
      <c r="G925" s="67" t="s">
        <v>2369</v>
      </c>
      <c r="H925" s="278"/>
      <c r="I925" s="66" t="s">
        <v>436</v>
      </c>
      <c r="J925" s="66" t="s">
        <v>2370</v>
      </c>
      <c r="K925" s="66" t="s">
        <v>436</v>
      </c>
      <c r="L925" s="66" t="s">
        <v>380</v>
      </c>
      <c r="M925" s="93">
        <v>11739.7</v>
      </c>
      <c r="N925" s="32"/>
      <c r="O925" s="94">
        <v>284063</v>
      </c>
      <c r="P925" s="71"/>
      <c r="Q925" s="94"/>
      <c r="R925" s="94" t="s">
        <v>496</v>
      </c>
      <c r="S925" s="94" t="s">
        <v>2371</v>
      </c>
      <c r="T925" s="78">
        <v>61739.7</v>
      </c>
      <c r="U925" s="79">
        <v>35845</v>
      </c>
      <c r="V925" s="78" t="s">
        <v>240</v>
      </c>
      <c r="W925" s="78"/>
      <c r="X925" s="101">
        <v>50000</v>
      </c>
      <c r="Y925" s="129">
        <v>166666</v>
      </c>
      <c r="Z925" s="78">
        <v>46959</v>
      </c>
      <c r="AA925" s="79">
        <v>36132</v>
      </c>
      <c r="AB925" s="78">
        <v>851</v>
      </c>
      <c r="AC925" s="80">
        <v>36228</v>
      </c>
      <c r="AD925" s="75"/>
      <c r="AE925" s="75"/>
      <c r="AF925" s="32"/>
      <c r="AG925" s="32"/>
    </row>
    <row r="926" spans="2:33">
      <c r="B926" s="111"/>
      <c r="C926" s="32"/>
      <c r="D926" s="32"/>
      <c r="E926" s="32"/>
      <c r="F926" s="32"/>
      <c r="G926" s="32"/>
      <c r="H926" s="196"/>
      <c r="I926" s="32"/>
      <c r="J926" s="32"/>
      <c r="K926" s="32"/>
      <c r="L926" s="32"/>
      <c r="M926" s="190"/>
      <c r="N926" s="32"/>
      <c r="O926" s="32"/>
      <c r="P926" s="17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</row>
    <row r="927" spans="2:33">
      <c r="B927" s="111"/>
      <c r="C927" s="88" t="s">
        <v>2372</v>
      </c>
      <c r="D927" s="32"/>
      <c r="E927" s="32"/>
      <c r="F927" s="32"/>
      <c r="G927" s="32"/>
      <c r="H927" s="196"/>
      <c r="I927" s="32"/>
      <c r="J927" s="32"/>
      <c r="K927" s="32"/>
      <c r="L927" s="32"/>
      <c r="M927" s="190"/>
      <c r="N927" s="32"/>
      <c r="O927" s="32"/>
      <c r="P927" s="17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</row>
    <row r="928" spans="2:33">
      <c r="B928" s="113">
        <v>288</v>
      </c>
      <c r="C928" s="64" t="s">
        <v>2373</v>
      </c>
      <c r="D928" s="64" t="s">
        <v>2374</v>
      </c>
      <c r="E928" s="64"/>
      <c r="F928" s="66">
        <v>3</v>
      </c>
      <c r="G928" s="67" t="s">
        <v>2375</v>
      </c>
      <c r="H928" s="278"/>
      <c r="I928" s="66" t="s">
        <v>232</v>
      </c>
      <c r="J928" s="66" t="s">
        <v>2376</v>
      </c>
      <c r="K928" s="66" t="s">
        <v>232</v>
      </c>
      <c r="L928" s="66" t="s">
        <v>245</v>
      </c>
      <c r="M928" s="93">
        <v>33529.699999999997</v>
      </c>
      <c r="N928" s="32"/>
      <c r="O928" s="94">
        <v>335297</v>
      </c>
      <c r="P928" s="71"/>
      <c r="Q928" s="66"/>
      <c r="R928" s="66" t="s">
        <v>292</v>
      </c>
      <c r="S928" s="66"/>
      <c r="T928" s="78"/>
      <c r="U928" s="78"/>
      <c r="V928" s="78"/>
      <c r="W928" s="78"/>
      <c r="X928" s="78"/>
      <c r="Y928" s="78"/>
      <c r="Z928" s="78"/>
      <c r="AA928" s="78"/>
      <c r="AB928" s="78"/>
      <c r="AC928" s="96"/>
      <c r="AD928" s="92"/>
      <c r="AE928" s="92"/>
      <c r="AF928" s="32"/>
      <c r="AG928" s="32"/>
    </row>
    <row r="929" spans="2:37">
      <c r="B929" s="111"/>
      <c r="C929" s="32"/>
      <c r="D929" s="32"/>
      <c r="E929" s="32"/>
      <c r="F929" s="32"/>
      <c r="G929" s="32"/>
      <c r="H929" s="196"/>
      <c r="I929" s="32"/>
      <c r="J929" s="32"/>
      <c r="K929" s="32"/>
      <c r="L929" s="32"/>
      <c r="M929" s="190"/>
      <c r="N929" s="32"/>
      <c r="O929" s="32"/>
      <c r="P929" s="17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</row>
    <row r="930" spans="2:37">
      <c r="B930" s="111"/>
      <c r="C930" s="88" t="s">
        <v>2377</v>
      </c>
      <c r="D930" s="32"/>
      <c r="E930" s="32"/>
      <c r="F930" s="32"/>
      <c r="G930" s="32"/>
      <c r="H930" s="196"/>
      <c r="I930" s="32"/>
      <c r="J930" s="32"/>
      <c r="K930" s="32"/>
      <c r="L930" s="32"/>
      <c r="M930" s="190"/>
      <c r="N930" s="32"/>
      <c r="O930" s="32"/>
      <c r="P930" s="17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</row>
    <row r="931" spans="2:37">
      <c r="B931" s="63">
        <v>289</v>
      </c>
      <c r="C931" s="64" t="s">
        <v>2378</v>
      </c>
      <c r="D931" s="64" t="s">
        <v>2379</v>
      </c>
      <c r="E931" s="64"/>
      <c r="F931" s="66">
        <v>436</v>
      </c>
      <c r="G931" s="67" t="s">
        <v>2375</v>
      </c>
      <c r="H931" s="278"/>
      <c r="I931" s="66" t="s">
        <v>232</v>
      </c>
      <c r="J931" s="66" t="s">
        <v>2380</v>
      </c>
      <c r="K931" s="66" t="s">
        <v>232</v>
      </c>
      <c r="L931" s="66" t="s">
        <v>245</v>
      </c>
      <c r="M931" s="93">
        <v>102792.1</v>
      </c>
      <c r="N931" s="32"/>
      <c r="O931" s="94">
        <v>1027921</v>
      </c>
      <c r="P931" s="71">
        <v>524240</v>
      </c>
      <c r="Q931" s="94"/>
      <c r="R931" s="94" t="s">
        <v>292</v>
      </c>
      <c r="S931" s="94" t="s">
        <v>447</v>
      </c>
      <c r="T931" s="78">
        <v>114459.8</v>
      </c>
      <c r="U931" s="78"/>
      <c r="V931" s="78"/>
      <c r="W931" s="78"/>
      <c r="X931" s="78"/>
      <c r="Y931" s="78"/>
      <c r="Z931" s="78"/>
      <c r="AA931" s="78"/>
      <c r="AB931" s="95"/>
      <c r="AC931" s="96"/>
      <c r="AD931" s="97"/>
      <c r="AE931" s="92"/>
      <c r="AF931" s="32" t="s">
        <v>2381</v>
      </c>
      <c r="AG931" s="32"/>
    </row>
    <row r="932" spans="2:37">
      <c r="B932" s="113">
        <v>290</v>
      </c>
      <c r="C932" s="64" t="s">
        <v>2382</v>
      </c>
      <c r="D932" s="64" t="s">
        <v>2383</v>
      </c>
      <c r="E932" s="64"/>
      <c r="F932" s="66">
        <v>430</v>
      </c>
      <c r="G932" s="67" t="s">
        <v>2375</v>
      </c>
      <c r="H932" s="278"/>
      <c r="I932" s="66" t="s">
        <v>232</v>
      </c>
      <c r="J932" s="66" t="s">
        <v>2384</v>
      </c>
      <c r="K932" s="66" t="s">
        <v>232</v>
      </c>
      <c r="L932" s="66" t="s">
        <v>350</v>
      </c>
      <c r="M932" s="93">
        <v>59489.7</v>
      </c>
      <c r="N932" s="32"/>
      <c r="O932" s="94">
        <v>594897</v>
      </c>
      <c r="P932" s="71"/>
      <c r="Q932" s="94"/>
      <c r="R932" s="94" t="s">
        <v>292</v>
      </c>
      <c r="S932" s="94" t="s">
        <v>2385</v>
      </c>
      <c r="T932" s="78"/>
      <c r="U932" s="78"/>
      <c r="V932" s="78"/>
      <c r="W932" s="78"/>
      <c r="X932" s="78"/>
      <c r="Y932" s="78"/>
      <c r="Z932" s="78">
        <v>237959</v>
      </c>
      <c r="AA932" s="79">
        <v>36265</v>
      </c>
      <c r="AB932" s="78">
        <v>295</v>
      </c>
      <c r="AC932" s="80">
        <v>36280</v>
      </c>
      <c r="AD932" s="75"/>
      <c r="AE932" s="75"/>
      <c r="AF932" s="32"/>
      <c r="AG932" s="32"/>
      <c r="AJ932" s="136"/>
      <c r="AK932" s="136"/>
    </row>
    <row r="933" spans="2:37">
      <c r="B933" s="113">
        <v>291</v>
      </c>
      <c r="C933" s="64" t="s">
        <v>2386</v>
      </c>
      <c r="D933" s="64" t="s">
        <v>2387</v>
      </c>
      <c r="E933" s="64"/>
      <c r="F933" s="66">
        <v>4</v>
      </c>
      <c r="G933" s="67" t="s">
        <v>2375</v>
      </c>
      <c r="H933" s="278"/>
      <c r="I933" s="66" t="s">
        <v>232</v>
      </c>
      <c r="J933" s="66" t="s">
        <v>2388</v>
      </c>
      <c r="K933" s="66" t="s">
        <v>232</v>
      </c>
      <c r="L933" s="66" t="s">
        <v>233</v>
      </c>
      <c r="M933" s="93">
        <v>5267.2</v>
      </c>
      <c r="N933" s="32"/>
      <c r="O933" s="94">
        <v>52672</v>
      </c>
      <c r="P933" s="71"/>
      <c r="Q933" s="66"/>
      <c r="R933" s="66" t="s">
        <v>292</v>
      </c>
      <c r="S933" s="66"/>
      <c r="T933" s="78"/>
      <c r="U933" s="78"/>
      <c r="V933" s="78"/>
      <c r="W933" s="78"/>
      <c r="X933" s="78"/>
      <c r="Y933" s="78"/>
      <c r="Z933" s="78"/>
      <c r="AA933" s="78"/>
      <c r="AB933" s="78"/>
      <c r="AC933" s="96"/>
      <c r="AD933" s="92"/>
      <c r="AE933" s="92"/>
      <c r="AF933" s="32"/>
      <c r="AG933" s="32"/>
    </row>
    <row r="934" spans="2:37">
      <c r="B934" s="113">
        <v>292</v>
      </c>
      <c r="C934" s="64" t="s">
        <v>2389</v>
      </c>
      <c r="D934" s="64" t="s">
        <v>2390</v>
      </c>
      <c r="E934" s="64"/>
      <c r="F934" s="63">
        <v>306</v>
      </c>
      <c r="G934" s="67" t="s">
        <v>2375</v>
      </c>
      <c r="H934" s="278"/>
      <c r="I934" s="63" t="s">
        <v>232</v>
      </c>
      <c r="J934" s="63" t="s">
        <v>2391</v>
      </c>
      <c r="K934" s="63" t="s">
        <v>232</v>
      </c>
      <c r="L934" s="63" t="s">
        <v>350</v>
      </c>
      <c r="M934" s="226">
        <v>49291.1</v>
      </c>
      <c r="N934" s="32"/>
      <c r="O934" s="103">
        <v>492911</v>
      </c>
      <c r="P934" s="71"/>
      <c r="Q934" s="66"/>
      <c r="R934" s="66" t="s">
        <v>292</v>
      </c>
      <c r="S934" s="66" t="s">
        <v>1755</v>
      </c>
      <c r="T934" s="78"/>
      <c r="U934" s="78"/>
      <c r="V934" s="78"/>
      <c r="W934" s="78"/>
      <c r="X934" s="78"/>
      <c r="Y934" s="78"/>
      <c r="Z934" s="78"/>
      <c r="AA934" s="78"/>
      <c r="AB934" s="78"/>
      <c r="AC934" s="96"/>
      <c r="AD934" s="92"/>
      <c r="AE934" s="92"/>
      <c r="AF934" s="32"/>
      <c r="AG934" s="32"/>
    </row>
    <row r="935" spans="2:37">
      <c r="B935" s="113">
        <v>293</v>
      </c>
      <c r="C935" s="64" t="s">
        <v>2392</v>
      </c>
      <c r="D935" s="64" t="s">
        <v>2393</v>
      </c>
      <c r="E935" s="64"/>
      <c r="F935" s="63">
        <v>219</v>
      </c>
      <c r="G935" s="67" t="s">
        <v>2375</v>
      </c>
      <c r="H935" s="278"/>
      <c r="I935" s="63" t="s">
        <v>232</v>
      </c>
      <c r="J935" s="63" t="s">
        <v>2394</v>
      </c>
      <c r="K935" s="63" t="s">
        <v>232</v>
      </c>
      <c r="L935" s="63" t="s">
        <v>380</v>
      </c>
      <c r="M935" s="226">
        <v>15023</v>
      </c>
      <c r="N935" s="32"/>
      <c r="O935" s="103">
        <v>150230</v>
      </c>
      <c r="P935" s="71"/>
      <c r="Q935" s="94"/>
      <c r="R935" s="94" t="s">
        <v>323</v>
      </c>
      <c r="S935" s="94" t="s">
        <v>1219</v>
      </c>
      <c r="T935" s="78"/>
      <c r="U935" s="78"/>
      <c r="V935" s="78"/>
      <c r="W935" s="78"/>
      <c r="X935" s="78"/>
      <c r="Y935" s="78"/>
      <c r="Z935" s="78"/>
      <c r="AA935" s="78"/>
      <c r="AB935" s="95"/>
      <c r="AC935" s="96"/>
      <c r="AD935" s="92"/>
      <c r="AE935" s="92"/>
      <c r="AF935" s="32"/>
      <c r="AG935" s="32"/>
    </row>
    <row r="936" spans="2:37">
      <c r="B936" s="113">
        <v>294</v>
      </c>
      <c r="C936" s="64" t="s">
        <v>2395</v>
      </c>
      <c r="D936" s="64" t="s">
        <v>2396</v>
      </c>
      <c r="E936" s="64"/>
      <c r="F936" s="66">
        <v>238</v>
      </c>
      <c r="G936" s="67" t="s">
        <v>2375</v>
      </c>
      <c r="H936" s="278"/>
      <c r="I936" s="66" t="s">
        <v>406</v>
      </c>
      <c r="J936" s="66" t="s">
        <v>2397</v>
      </c>
      <c r="K936" s="66" t="s">
        <v>406</v>
      </c>
      <c r="L936" s="66" t="s">
        <v>259</v>
      </c>
      <c r="M936" s="93">
        <v>13995.4</v>
      </c>
      <c r="N936" s="32"/>
      <c r="O936" s="94">
        <v>139954</v>
      </c>
      <c r="P936" s="71"/>
      <c r="Q936" s="66"/>
      <c r="R936" s="66" t="s">
        <v>292</v>
      </c>
      <c r="S936" s="66" t="s">
        <v>2398</v>
      </c>
      <c r="T936" s="78"/>
      <c r="U936" s="78"/>
      <c r="V936" s="78"/>
      <c r="W936" s="78"/>
      <c r="X936" s="78"/>
      <c r="Y936" s="78"/>
      <c r="Z936" s="78"/>
      <c r="AA936" s="78"/>
      <c r="AB936" s="78"/>
      <c r="AC936" s="96"/>
      <c r="AD936" s="92"/>
      <c r="AE936" s="92"/>
      <c r="AF936" s="32"/>
      <c r="AG936" s="32"/>
    </row>
    <row r="937" spans="2:37">
      <c r="B937" s="87"/>
      <c r="C937" s="88"/>
      <c r="D937" s="88"/>
      <c r="E937" s="88"/>
      <c r="F937" s="56"/>
      <c r="G937" s="242"/>
      <c r="H937" s="294"/>
      <c r="I937" s="56"/>
      <c r="J937" s="56"/>
      <c r="K937" s="56"/>
      <c r="L937" s="56"/>
      <c r="M937" s="58"/>
      <c r="N937" s="32"/>
      <c r="O937" s="90"/>
      <c r="P937" s="60"/>
      <c r="Q937" s="56"/>
      <c r="R937" s="56"/>
      <c r="S937" s="56"/>
      <c r="T937" s="36"/>
      <c r="U937" s="36"/>
      <c r="V937" s="36"/>
      <c r="W937" s="36"/>
      <c r="X937" s="36"/>
      <c r="Y937" s="36"/>
      <c r="Z937" s="36"/>
      <c r="AA937" s="36"/>
      <c r="AB937" s="36"/>
      <c r="AC937" s="92"/>
      <c r="AD937" s="92"/>
      <c r="AE937" s="92"/>
      <c r="AF937" s="32"/>
      <c r="AG937" s="32"/>
    </row>
    <row r="938" spans="2:37">
      <c r="B938" s="111"/>
      <c r="C938" s="32" t="s">
        <v>2399</v>
      </c>
      <c r="D938" s="32"/>
      <c r="E938" s="32"/>
      <c r="F938" s="32"/>
      <c r="G938" s="32"/>
      <c r="H938" s="196"/>
      <c r="I938" s="32"/>
      <c r="J938" s="32"/>
      <c r="K938" s="32"/>
      <c r="L938" s="32"/>
      <c r="M938" s="190"/>
      <c r="N938" s="32"/>
      <c r="O938" s="32"/>
      <c r="P938" s="17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</row>
    <row r="939" spans="2:37">
      <c r="B939" s="63">
        <v>295</v>
      </c>
      <c r="C939" s="64" t="s">
        <v>2400</v>
      </c>
      <c r="D939" s="64" t="s">
        <v>2401</v>
      </c>
      <c r="E939" s="64"/>
      <c r="F939" s="66">
        <v>114</v>
      </c>
      <c r="G939" s="67" t="s">
        <v>2402</v>
      </c>
      <c r="H939" s="278"/>
      <c r="I939" s="66" t="s">
        <v>286</v>
      </c>
      <c r="J939" s="66" t="s">
        <v>2403</v>
      </c>
      <c r="K939" s="66" t="s">
        <v>286</v>
      </c>
      <c r="L939" s="66" t="s">
        <v>259</v>
      </c>
      <c r="M939" s="93">
        <v>41789.4</v>
      </c>
      <c r="N939" s="32"/>
      <c r="O939" s="94">
        <v>10113</v>
      </c>
      <c r="P939" s="71"/>
      <c r="Q939" s="66"/>
      <c r="R939" s="66" t="s">
        <v>292</v>
      </c>
      <c r="S939" s="66"/>
      <c r="T939" s="78"/>
      <c r="U939" s="78"/>
      <c r="V939" s="78"/>
      <c r="W939" s="78"/>
      <c r="X939" s="78"/>
      <c r="Y939" s="78"/>
      <c r="Z939" s="78"/>
      <c r="AA939" s="78"/>
      <c r="AB939" s="78"/>
      <c r="AC939" s="96"/>
      <c r="AD939" s="92"/>
      <c r="AE939" s="252" t="s">
        <v>2404</v>
      </c>
      <c r="AF939" s="253"/>
      <c r="AG939" s="32"/>
    </row>
    <row r="940" spans="2:37">
      <c r="B940" s="111"/>
      <c r="C940" s="32"/>
      <c r="D940" s="32"/>
      <c r="E940" s="32"/>
      <c r="F940" s="32"/>
      <c r="G940" s="32"/>
      <c r="H940" s="196"/>
      <c r="I940" s="32"/>
      <c r="J940" s="32"/>
      <c r="K940" s="32"/>
      <c r="L940" s="32"/>
      <c r="M940" s="190"/>
      <c r="N940" s="32"/>
      <c r="O940" s="32"/>
      <c r="P940" s="17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</row>
    <row r="941" spans="2:37">
      <c r="B941" s="111"/>
      <c r="C941" s="32" t="s">
        <v>2405</v>
      </c>
      <c r="D941" s="32"/>
      <c r="E941" s="32"/>
      <c r="F941" s="32"/>
      <c r="G941" s="32"/>
      <c r="H941" s="196"/>
      <c r="I941" s="32"/>
      <c r="J941" s="32"/>
      <c r="K941" s="32"/>
      <c r="L941" s="32"/>
      <c r="M941" s="190"/>
      <c r="N941" s="32"/>
      <c r="O941" s="32"/>
      <c r="P941" s="17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</row>
    <row r="942" spans="2:37">
      <c r="B942" s="113">
        <v>296</v>
      </c>
      <c r="C942" s="64" t="s">
        <v>2406</v>
      </c>
      <c r="D942" s="64" t="s">
        <v>2407</v>
      </c>
      <c r="E942" s="64"/>
      <c r="F942" s="66">
        <v>362</v>
      </c>
      <c r="G942" s="67" t="s">
        <v>2408</v>
      </c>
      <c r="H942" s="278"/>
      <c r="I942" s="66" t="s">
        <v>232</v>
      </c>
      <c r="J942" s="66" t="s">
        <v>2409</v>
      </c>
      <c r="K942" s="66" t="s">
        <v>232</v>
      </c>
      <c r="L942" s="66" t="s">
        <v>259</v>
      </c>
      <c r="M942" s="93">
        <v>27180.5</v>
      </c>
      <c r="N942" s="32"/>
      <c r="O942" s="94">
        <v>271805</v>
      </c>
      <c r="P942" s="71"/>
      <c r="Q942" s="66"/>
      <c r="R942" s="66" t="s">
        <v>292</v>
      </c>
      <c r="S942" s="66" t="s">
        <v>2222</v>
      </c>
      <c r="T942" s="78"/>
      <c r="U942" s="78"/>
      <c r="V942" s="78"/>
      <c r="W942" s="78"/>
      <c r="X942" s="78"/>
      <c r="Y942" s="78"/>
      <c r="Z942" s="78"/>
      <c r="AA942" s="78"/>
      <c r="AB942" s="78"/>
      <c r="AC942" s="96"/>
      <c r="AD942" s="92"/>
      <c r="AE942" s="92"/>
      <c r="AF942" s="32"/>
      <c r="AG942" s="32"/>
    </row>
    <row r="943" spans="2:37">
      <c r="B943" s="111"/>
      <c r="C943" s="32"/>
      <c r="D943" s="32"/>
      <c r="E943" s="32"/>
      <c r="F943" s="32"/>
      <c r="G943" s="32"/>
      <c r="H943" s="196"/>
      <c r="I943" s="32"/>
      <c r="J943" s="32"/>
      <c r="K943" s="32"/>
      <c r="L943" s="32"/>
      <c r="M943" s="190"/>
      <c r="N943" s="32"/>
      <c r="O943" s="32"/>
      <c r="P943" s="17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</row>
    <row r="944" spans="2:37">
      <c r="B944" s="111"/>
      <c r="C944" s="32" t="s">
        <v>2410</v>
      </c>
      <c r="D944" s="32"/>
      <c r="E944" s="32"/>
      <c r="F944" s="32"/>
      <c r="G944" s="32"/>
      <c r="H944" s="196"/>
      <c r="I944" s="32"/>
      <c r="J944" s="32"/>
      <c r="K944" s="32"/>
      <c r="L944" s="32"/>
      <c r="M944" s="190"/>
      <c r="N944" s="32"/>
      <c r="O944" s="32"/>
      <c r="P944" s="17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</row>
    <row r="945" spans="2:33">
      <c r="B945" s="113">
        <v>297</v>
      </c>
      <c r="C945" s="64" t="s">
        <v>2411</v>
      </c>
      <c r="D945" s="64" t="s">
        <v>2291</v>
      </c>
      <c r="E945" s="64"/>
      <c r="F945" s="66">
        <v>384</v>
      </c>
      <c r="G945" s="67" t="s">
        <v>2412</v>
      </c>
      <c r="H945" s="278"/>
      <c r="I945" s="66" t="s">
        <v>244</v>
      </c>
      <c r="J945" s="66" t="s">
        <v>2413</v>
      </c>
      <c r="K945" s="66" t="s">
        <v>244</v>
      </c>
      <c r="L945" s="66" t="s">
        <v>380</v>
      </c>
      <c r="M945" s="93">
        <v>17526.5</v>
      </c>
      <c r="N945" s="32"/>
      <c r="O945" s="94">
        <f>(175265+177505)*10</f>
        <v>3527700</v>
      </c>
      <c r="P945" s="71"/>
      <c r="Q945" s="94"/>
      <c r="R945" s="94" t="s">
        <v>513</v>
      </c>
      <c r="S945" s="94" t="s">
        <v>745</v>
      </c>
      <c r="T945" s="78"/>
      <c r="U945" s="78"/>
      <c r="V945" s="78"/>
      <c r="W945" s="78"/>
      <c r="X945" s="78"/>
      <c r="Y945" s="78"/>
      <c r="Z945" s="78">
        <v>89385</v>
      </c>
      <c r="AA945" s="79">
        <v>35769</v>
      </c>
      <c r="AB945" s="78">
        <v>750</v>
      </c>
      <c r="AC945" s="80">
        <v>35788</v>
      </c>
      <c r="AD945" s="75"/>
      <c r="AE945" s="75"/>
      <c r="AF945" s="32" t="s">
        <v>352</v>
      </c>
      <c r="AG945" s="32"/>
    </row>
    <row r="946" spans="2:33">
      <c r="B946" s="111"/>
      <c r="C946" s="32"/>
      <c r="D946" s="32"/>
      <c r="E946" s="32"/>
      <c r="F946" s="32"/>
      <c r="G946" s="32"/>
      <c r="H946" s="196"/>
      <c r="I946" s="32"/>
      <c r="J946" s="32"/>
      <c r="K946" s="32"/>
      <c r="L946" s="32"/>
      <c r="M946" s="190"/>
      <c r="N946" s="32"/>
      <c r="O946" s="32"/>
      <c r="P946" s="17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</row>
    <row r="947" spans="2:33">
      <c r="B947" s="111"/>
      <c r="C947" s="32" t="s">
        <v>2414</v>
      </c>
      <c r="D947" s="32"/>
      <c r="E947" s="32"/>
      <c r="F947" s="32"/>
      <c r="G947" s="32"/>
      <c r="H947" s="196"/>
      <c r="I947" s="32"/>
      <c r="J947" s="32"/>
      <c r="K947" s="32"/>
      <c r="L947" s="32"/>
      <c r="M947" s="190"/>
      <c r="N947" s="32"/>
      <c r="O947" s="32"/>
      <c r="P947" s="17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</row>
    <row r="948" spans="2:33">
      <c r="B948" s="113">
        <v>298</v>
      </c>
      <c r="C948" s="64" t="s">
        <v>2415</v>
      </c>
      <c r="D948" s="64" t="s">
        <v>2416</v>
      </c>
      <c r="E948" s="64"/>
      <c r="F948" s="63">
        <v>226</v>
      </c>
      <c r="G948" s="67" t="s">
        <v>2417</v>
      </c>
      <c r="H948" s="278"/>
      <c r="I948" s="63" t="s">
        <v>232</v>
      </c>
      <c r="J948" s="63" t="s">
        <v>2418</v>
      </c>
      <c r="K948" s="63" t="s">
        <v>232</v>
      </c>
      <c r="L948" s="63" t="s">
        <v>380</v>
      </c>
      <c r="M948" s="226">
        <v>32860.9</v>
      </c>
      <c r="N948" s="32"/>
      <c r="O948" s="103">
        <v>328609</v>
      </c>
      <c r="P948" s="71"/>
      <c r="Q948" s="94"/>
      <c r="R948" s="94" t="s">
        <v>323</v>
      </c>
      <c r="S948" s="94" t="s">
        <v>2419</v>
      </c>
      <c r="T948" s="78"/>
      <c r="U948" s="78"/>
      <c r="V948" s="78"/>
      <c r="W948" s="78"/>
      <c r="X948" s="78"/>
      <c r="Y948" s="78"/>
      <c r="Z948" s="78">
        <v>167591</v>
      </c>
      <c r="AA948" s="79">
        <v>36251</v>
      </c>
      <c r="AB948" s="78">
        <v>249</v>
      </c>
      <c r="AC948" s="80">
        <v>36283</v>
      </c>
      <c r="AD948" s="75"/>
      <c r="AE948" s="75"/>
      <c r="AF948" s="32" t="s">
        <v>2420</v>
      </c>
      <c r="AG948" s="32"/>
    </row>
    <row r="949" spans="2:33">
      <c r="B949" s="111"/>
      <c r="C949" s="32"/>
      <c r="D949" s="32"/>
      <c r="E949" s="32"/>
      <c r="F949" s="32"/>
      <c r="G949" s="32"/>
      <c r="H949" s="196"/>
      <c r="I949" s="32"/>
      <c r="J949" s="32"/>
      <c r="K949" s="32"/>
      <c r="L949" s="32"/>
      <c r="M949" s="190"/>
      <c r="N949" s="32"/>
      <c r="O949" s="32"/>
      <c r="P949" s="17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</row>
    <row r="950" spans="2:33">
      <c r="B950" s="111"/>
      <c r="C950" s="32" t="s">
        <v>2421</v>
      </c>
      <c r="D950" s="32"/>
      <c r="E950" s="32"/>
      <c r="F950" s="32"/>
      <c r="G950" s="32"/>
      <c r="H950" s="196"/>
      <c r="I950" s="32"/>
      <c r="J950" s="32"/>
      <c r="K950" s="32"/>
      <c r="L950" s="32"/>
      <c r="M950" s="190"/>
      <c r="N950" s="32"/>
      <c r="O950" s="32"/>
      <c r="P950" s="17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</row>
    <row r="951" spans="2:33">
      <c r="B951" s="113">
        <v>299</v>
      </c>
      <c r="C951" s="64" t="s">
        <v>2422</v>
      </c>
      <c r="D951" s="64" t="s">
        <v>2423</v>
      </c>
      <c r="E951" s="64"/>
      <c r="F951" s="66">
        <v>264</v>
      </c>
      <c r="G951" s="67" t="s">
        <v>2424</v>
      </c>
      <c r="H951" s="278"/>
      <c r="I951" s="66" t="s">
        <v>232</v>
      </c>
      <c r="J951" s="66" t="s">
        <v>2425</v>
      </c>
      <c r="K951" s="66" t="s">
        <v>232</v>
      </c>
      <c r="L951" s="66" t="s">
        <v>350</v>
      </c>
      <c r="M951" s="93">
        <v>35128.6</v>
      </c>
      <c r="N951" s="32"/>
      <c r="O951" s="94">
        <v>700523</v>
      </c>
      <c r="P951" s="71"/>
      <c r="Q951" s="66"/>
      <c r="R951" s="66" t="s">
        <v>292</v>
      </c>
      <c r="S951" s="66" t="s">
        <v>2426</v>
      </c>
      <c r="T951" s="78">
        <v>42700</v>
      </c>
      <c r="U951" s="78" t="s">
        <v>2427</v>
      </c>
      <c r="V951" s="78"/>
      <c r="W951" s="78"/>
      <c r="X951" s="78"/>
      <c r="Y951" s="78"/>
      <c r="Z951" s="78"/>
      <c r="AA951" s="78"/>
      <c r="AB951" s="78"/>
      <c r="AC951" s="96"/>
      <c r="AD951" s="92"/>
      <c r="AE951" s="92"/>
      <c r="AF951" s="32"/>
      <c r="AG951" s="32"/>
    </row>
    <row r="952" spans="2:33">
      <c r="B952" s="111"/>
      <c r="C952" s="32"/>
      <c r="D952" s="32"/>
      <c r="E952" s="32"/>
      <c r="F952" s="32"/>
      <c r="G952" s="32"/>
      <c r="H952" s="196"/>
      <c r="I952" s="32"/>
      <c r="J952" s="32"/>
      <c r="K952" s="32"/>
      <c r="L952" s="32"/>
      <c r="M952" s="190"/>
      <c r="N952" s="32"/>
      <c r="O952" s="32"/>
      <c r="P952" s="17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</row>
    <row r="953" spans="2:33">
      <c r="B953" s="111"/>
      <c r="C953" s="32" t="s">
        <v>2428</v>
      </c>
      <c r="D953" s="32"/>
      <c r="E953" s="32"/>
      <c r="F953" s="32"/>
      <c r="G953" s="32"/>
      <c r="H953" s="196"/>
      <c r="I953" s="32"/>
      <c r="J953" s="32"/>
      <c r="K953" s="32"/>
      <c r="L953" s="32"/>
      <c r="M953" s="190"/>
      <c r="N953" s="32"/>
      <c r="O953" s="32"/>
      <c r="P953" s="17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</row>
    <row r="954" spans="2:33">
      <c r="B954" s="63">
        <v>300</v>
      </c>
      <c r="C954" s="65" t="s">
        <v>2429</v>
      </c>
      <c r="D954" s="65" t="s">
        <v>2430</v>
      </c>
      <c r="E954" s="65"/>
      <c r="F954" s="66">
        <v>501</v>
      </c>
      <c r="G954" s="67" t="s">
        <v>2431</v>
      </c>
      <c r="H954" s="278"/>
      <c r="I954" s="66" t="s">
        <v>232</v>
      </c>
      <c r="J954" s="66" t="s">
        <v>2432</v>
      </c>
      <c r="K954" s="66" t="s">
        <v>232</v>
      </c>
      <c r="L954" s="66" t="s">
        <v>259</v>
      </c>
      <c r="M954" s="93">
        <f>O954*N954/1000</f>
        <v>380676.7</v>
      </c>
      <c r="N954" s="93">
        <v>100</v>
      </c>
      <c r="O954" s="69">
        <v>3806767</v>
      </c>
      <c r="P954" s="70">
        <v>1</v>
      </c>
      <c r="Q954" s="71">
        <v>3806767</v>
      </c>
      <c r="R954" s="72"/>
      <c r="S954" s="73"/>
      <c r="T954" s="73"/>
      <c r="U954" s="36"/>
      <c r="V954" s="36"/>
      <c r="W954" s="36"/>
      <c r="X954" s="74"/>
      <c r="Y954" s="36"/>
      <c r="Z954" s="36"/>
      <c r="AA954" s="36"/>
      <c r="AB954" s="74"/>
      <c r="AC954" s="36"/>
      <c r="AD954" s="75"/>
      <c r="AE954" s="75"/>
      <c r="AF954" s="75" t="s">
        <v>234</v>
      </c>
      <c r="AG954" s="32" t="s">
        <v>2433</v>
      </c>
    </row>
    <row r="955" spans="2:33">
      <c r="B955" s="111"/>
      <c r="C955" s="32" t="s">
        <v>2434</v>
      </c>
      <c r="D955" s="32"/>
      <c r="E955" s="32"/>
      <c r="F955" s="32"/>
      <c r="G955" s="32"/>
      <c r="H955" s="196"/>
      <c r="I955" s="32"/>
      <c r="J955" s="32"/>
      <c r="K955" s="32"/>
      <c r="L955" s="32"/>
      <c r="M955" s="190"/>
      <c r="N955" s="32"/>
      <c r="O955" s="32"/>
      <c r="P955" s="17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</row>
    <row r="956" spans="2:33">
      <c r="B956" s="63">
        <v>301</v>
      </c>
      <c r="C956" s="64" t="s">
        <v>2435</v>
      </c>
      <c r="D956" s="64" t="s">
        <v>2436</v>
      </c>
      <c r="E956" s="64"/>
      <c r="F956" s="66">
        <v>382</v>
      </c>
      <c r="G956" s="67" t="s">
        <v>2431</v>
      </c>
      <c r="H956" s="278"/>
      <c r="I956" s="66" t="s">
        <v>296</v>
      </c>
      <c r="J956" s="66" t="s">
        <v>2437</v>
      </c>
      <c r="K956" s="66" t="s">
        <v>296</v>
      </c>
      <c r="L956" s="66" t="s">
        <v>350</v>
      </c>
      <c r="M956" s="93">
        <f>O956*N956/1000</f>
        <v>29650.400000000001</v>
      </c>
      <c r="N956" s="93">
        <v>100</v>
      </c>
      <c r="O956" s="94">
        <v>296504</v>
      </c>
      <c r="P956" s="70">
        <f>+Q956/O956</f>
        <v>0.59999865094568705</v>
      </c>
      <c r="Q956" s="71">
        <v>177902</v>
      </c>
      <c r="R956" s="94" t="s">
        <v>234</v>
      </c>
      <c r="S956" s="94" t="s">
        <v>297</v>
      </c>
      <c r="T956" s="94" t="s">
        <v>2438</v>
      </c>
      <c r="U956" s="78"/>
      <c r="V956" s="78"/>
      <c r="W956" s="78"/>
      <c r="X956" s="78"/>
      <c r="Y956" s="78"/>
      <c r="Z956" s="78"/>
      <c r="AA956" s="78"/>
      <c r="AB956" s="78"/>
      <c r="AC956" s="95"/>
      <c r="AD956" s="96"/>
      <c r="AE956" s="97"/>
      <c r="AF956" s="92"/>
      <c r="AG956" s="32" t="s">
        <v>2439</v>
      </c>
    </row>
    <row r="957" spans="2:33">
      <c r="B957" s="111"/>
      <c r="C957" s="32" t="s">
        <v>2440</v>
      </c>
      <c r="D957" s="32"/>
      <c r="E957" s="32"/>
      <c r="F957" s="32"/>
      <c r="G957" s="32"/>
      <c r="H957" s="196"/>
      <c r="I957" s="32"/>
      <c r="J957" s="32"/>
      <c r="K957" s="32"/>
      <c r="L957" s="32"/>
      <c r="M957" s="190"/>
      <c r="N957" s="32"/>
      <c r="O957" s="32"/>
      <c r="P957" s="17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</row>
    <row r="958" spans="2:33">
      <c r="B958" s="113">
        <v>302</v>
      </c>
      <c r="C958" s="64" t="s">
        <v>2441</v>
      </c>
      <c r="D958" s="64" t="s">
        <v>2442</v>
      </c>
      <c r="E958" s="64"/>
      <c r="F958" s="66">
        <v>146</v>
      </c>
      <c r="G958" s="67" t="s">
        <v>2431</v>
      </c>
      <c r="H958" s="278"/>
      <c r="I958" s="66" t="s">
        <v>708</v>
      </c>
      <c r="J958" s="66" t="s">
        <v>2443</v>
      </c>
      <c r="K958" s="66" t="s">
        <v>708</v>
      </c>
      <c r="L958" s="66" t="s">
        <v>350</v>
      </c>
      <c r="M958" s="93">
        <f>O958*N958/1000</f>
        <v>7207.6</v>
      </c>
      <c r="N958" s="93">
        <v>100</v>
      </c>
      <c r="O958" s="94">
        <v>72076</v>
      </c>
      <c r="P958" s="114"/>
      <c r="Q958" s="71"/>
      <c r="R958" s="94"/>
      <c r="S958" s="94" t="s">
        <v>709</v>
      </c>
      <c r="T958" s="94" t="s">
        <v>639</v>
      </c>
      <c r="U958" s="78"/>
      <c r="V958" s="78"/>
      <c r="W958" s="78"/>
      <c r="X958" s="78"/>
      <c r="Y958" s="78"/>
      <c r="Z958" s="78"/>
      <c r="AA958" s="78">
        <v>36758</v>
      </c>
      <c r="AB958" s="79">
        <v>36061</v>
      </c>
      <c r="AC958" s="78">
        <v>652</v>
      </c>
      <c r="AD958" s="80">
        <v>36081</v>
      </c>
      <c r="AE958" s="75"/>
      <c r="AF958" s="75"/>
      <c r="AG958" s="32"/>
    </row>
    <row r="959" spans="2:33">
      <c r="B959" s="111"/>
      <c r="C959" s="32" t="s">
        <v>2444</v>
      </c>
      <c r="D959" s="32"/>
      <c r="E959" s="32"/>
      <c r="F959" s="32"/>
      <c r="G959" s="32"/>
      <c r="H959" s="196"/>
      <c r="I959" s="32"/>
      <c r="J959" s="32"/>
      <c r="K959" s="32"/>
      <c r="L959" s="32"/>
      <c r="M959" s="190"/>
      <c r="N959" s="32"/>
      <c r="O959" s="32"/>
      <c r="P959" s="17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</row>
    <row r="960" spans="2:33">
      <c r="B960" s="113">
        <v>303</v>
      </c>
      <c r="C960" s="64" t="s">
        <v>2445</v>
      </c>
      <c r="D960" s="64" t="s">
        <v>2446</v>
      </c>
      <c r="E960" s="64"/>
      <c r="F960" s="66">
        <v>343</v>
      </c>
      <c r="G960" s="67" t="s">
        <v>2431</v>
      </c>
      <c r="H960" s="278"/>
      <c r="I960" s="66" t="s">
        <v>345</v>
      </c>
      <c r="J960" s="66" t="s">
        <v>2447</v>
      </c>
      <c r="K960" s="66" t="s">
        <v>345</v>
      </c>
      <c r="L960" s="66" t="s">
        <v>350</v>
      </c>
      <c r="M960" s="93">
        <f>O960*N960/1000</f>
        <v>38871.9</v>
      </c>
      <c r="N960" s="93">
        <v>100</v>
      </c>
      <c r="O960" s="94">
        <v>388719</v>
      </c>
      <c r="P960" s="116"/>
      <c r="Q960" s="71"/>
      <c r="R960" s="66"/>
      <c r="S960" s="66" t="s">
        <v>346</v>
      </c>
      <c r="T960" s="66" t="s">
        <v>879</v>
      </c>
      <c r="U960" s="78"/>
      <c r="V960" s="78"/>
      <c r="W960" s="78"/>
      <c r="X960" s="78"/>
      <c r="Y960" s="78"/>
      <c r="Z960" s="78"/>
      <c r="AA960" s="78"/>
      <c r="AB960" s="78"/>
      <c r="AC960" s="78"/>
      <c r="AD960" s="96"/>
      <c r="AE960" s="92"/>
      <c r="AF960" s="92"/>
      <c r="AG960" s="32"/>
    </row>
    <row r="961" spans="2:46">
      <c r="B961" s="111"/>
      <c r="C961" s="32" t="s">
        <v>2448</v>
      </c>
      <c r="D961" s="32"/>
      <c r="E961" s="32"/>
      <c r="F961" s="32"/>
      <c r="G961" s="32"/>
      <c r="H961" s="196"/>
      <c r="I961" s="32"/>
      <c r="J961" s="32"/>
      <c r="K961" s="32"/>
      <c r="L961" s="32"/>
      <c r="M961" s="190"/>
      <c r="N961" s="32"/>
      <c r="O961" s="32"/>
      <c r="P961" s="17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</row>
    <row r="962" spans="2:46">
      <c r="B962" s="113">
        <v>304</v>
      </c>
      <c r="C962" s="64" t="s">
        <v>2449</v>
      </c>
      <c r="D962" s="64" t="s">
        <v>2450</v>
      </c>
      <c r="E962" s="64"/>
      <c r="F962" s="66">
        <v>249</v>
      </c>
      <c r="G962" s="67" t="s">
        <v>2431</v>
      </c>
      <c r="H962" s="278"/>
      <c r="I962" s="66" t="s">
        <v>232</v>
      </c>
      <c r="J962" s="66" t="s">
        <v>2451</v>
      </c>
      <c r="K962" s="66" t="s">
        <v>232</v>
      </c>
      <c r="L962" s="66" t="s">
        <v>233</v>
      </c>
      <c r="M962" s="93">
        <f>O962*N962/1000</f>
        <v>19346.099999999999</v>
      </c>
      <c r="N962" s="144">
        <v>100</v>
      </c>
      <c r="O962" s="94">
        <v>193461</v>
      </c>
      <c r="P962" s="116"/>
      <c r="Q962" s="71"/>
      <c r="R962" s="66"/>
      <c r="S962" s="66" t="s">
        <v>323</v>
      </c>
      <c r="T962" s="66" t="s">
        <v>514</v>
      </c>
      <c r="U962" s="78">
        <v>31346.1</v>
      </c>
      <c r="V962" s="79">
        <v>35688</v>
      </c>
      <c r="W962" s="78" t="s">
        <v>240</v>
      </c>
      <c r="X962" s="79">
        <v>35600</v>
      </c>
      <c r="Y962" s="254">
        <v>22000</v>
      </c>
      <c r="Z962" s="78">
        <v>100000</v>
      </c>
      <c r="AA962" s="78"/>
      <c r="AB962" s="78"/>
      <c r="AC962" s="78"/>
      <c r="AD962" s="96"/>
      <c r="AE962" s="92"/>
      <c r="AF962" s="92"/>
      <c r="AG962" s="32"/>
    </row>
    <row r="963" spans="2:46">
      <c r="B963" s="111"/>
      <c r="C963" s="32" t="s">
        <v>2452</v>
      </c>
      <c r="D963" s="32"/>
      <c r="E963" s="32"/>
      <c r="F963" s="32"/>
      <c r="G963" s="32"/>
      <c r="H963" s="196"/>
      <c r="I963" s="32"/>
      <c r="J963" s="32"/>
      <c r="K963" s="32"/>
      <c r="L963" s="32"/>
      <c r="M963" s="190"/>
      <c r="N963" s="32"/>
      <c r="O963" s="32"/>
      <c r="P963" s="17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</row>
    <row r="964" spans="2:46">
      <c r="B964" s="113">
        <v>305</v>
      </c>
      <c r="C964" s="64" t="s">
        <v>2453</v>
      </c>
      <c r="D964" s="64" t="s">
        <v>2454</v>
      </c>
      <c r="E964" s="64"/>
      <c r="F964" s="66">
        <v>11</v>
      </c>
      <c r="G964" s="67" t="s">
        <v>2431</v>
      </c>
      <c r="H964" s="278"/>
      <c r="I964" s="66" t="s">
        <v>232</v>
      </c>
      <c r="J964" s="66" t="s">
        <v>2455</v>
      </c>
      <c r="K964" s="66" t="s">
        <v>232</v>
      </c>
      <c r="L964" s="66" t="s">
        <v>350</v>
      </c>
      <c r="M964" s="93">
        <f>O964*N964/1000</f>
        <v>10500</v>
      </c>
      <c r="N964" s="93">
        <v>100</v>
      </c>
      <c r="O964" s="94">
        <v>105000</v>
      </c>
      <c r="P964" s="78"/>
      <c r="Q964" s="71"/>
      <c r="R964" s="66"/>
      <c r="S964" s="66" t="s">
        <v>292</v>
      </c>
      <c r="T964" s="66" t="s">
        <v>2456</v>
      </c>
      <c r="U964" s="78">
        <v>79500</v>
      </c>
      <c r="V964" s="78"/>
      <c r="W964" s="78"/>
      <c r="X964" s="78"/>
      <c r="Y964" s="78"/>
      <c r="Z964" s="78"/>
      <c r="AA964" s="78"/>
      <c r="AB964" s="78"/>
      <c r="AC964" s="78"/>
      <c r="AD964" s="96"/>
      <c r="AE964" s="92"/>
      <c r="AF964" s="92"/>
      <c r="AG964" s="32"/>
    </row>
    <row r="965" spans="2:46">
      <c r="B965" s="111"/>
      <c r="C965" s="32" t="s">
        <v>2457</v>
      </c>
      <c r="D965" s="32"/>
      <c r="E965" s="32"/>
      <c r="F965" s="32"/>
      <c r="G965" s="32"/>
      <c r="H965" s="196"/>
      <c r="I965" s="32"/>
      <c r="J965" s="32"/>
      <c r="K965" s="32"/>
      <c r="L965" s="32"/>
      <c r="M965" s="190"/>
      <c r="N965" s="32"/>
      <c r="O965" s="32"/>
      <c r="P965" s="17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</row>
    <row r="966" spans="2:46" s="270" customFormat="1">
      <c r="B966" s="255">
        <v>306</v>
      </c>
      <c r="C966" s="256" t="s">
        <v>884</v>
      </c>
      <c r="D966" s="256" t="s">
        <v>885</v>
      </c>
      <c r="E966" s="256"/>
      <c r="F966" s="257">
        <v>518</v>
      </c>
      <c r="G966" s="257" t="s">
        <v>2458</v>
      </c>
      <c r="H966" s="295"/>
      <c r="I966" s="257" t="s">
        <v>436</v>
      </c>
      <c r="J966" s="257" t="s">
        <v>83</v>
      </c>
      <c r="K966" s="257" t="s">
        <v>436</v>
      </c>
      <c r="L966" s="257" t="s">
        <v>233</v>
      </c>
      <c r="M966" s="258">
        <f>O966*N966/1000</f>
        <v>11945269</v>
      </c>
      <c r="N966" s="259">
        <v>100</v>
      </c>
      <c r="O966" s="260">
        <v>119452690</v>
      </c>
      <c r="P966" s="261">
        <f>+Q966/O966</f>
        <v>1</v>
      </c>
      <c r="Q966" s="262">
        <v>119452690</v>
      </c>
      <c r="R966" s="263"/>
      <c r="S966" s="264"/>
      <c r="T966" s="264"/>
      <c r="U966" s="265"/>
      <c r="V966" s="265"/>
      <c r="W966" s="265"/>
      <c r="X966" s="266"/>
      <c r="Y966" s="265"/>
      <c r="Z966" s="265"/>
      <c r="AA966" s="265"/>
      <c r="AB966" s="266"/>
      <c r="AC966" s="265"/>
      <c r="AD966" s="267"/>
      <c r="AE966" s="267"/>
      <c r="AF966" s="267" t="s">
        <v>234</v>
      </c>
      <c r="AG966" s="268" t="s">
        <v>2459</v>
      </c>
      <c r="AH966" s="269"/>
      <c r="AT966" s="270" t="s">
        <v>655</v>
      </c>
    </row>
    <row r="967" spans="2:46">
      <c r="B967" s="111"/>
      <c r="C967" s="32" t="s">
        <v>2460</v>
      </c>
      <c r="D967" s="32"/>
      <c r="E967" s="32"/>
      <c r="F967" s="32"/>
      <c r="G967" s="32"/>
      <c r="H967" s="196"/>
      <c r="I967" s="32"/>
      <c r="J967" s="32"/>
      <c r="K967" s="32"/>
      <c r="L967" s="32"/>
      <c r="M967" s="190"/>
      <c r="N967" s="32"/>
      <c r="O967" s="32"/>
      <c r="P967" s="17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</row>
    <row r="968" spans="2:46">
      <c r="B968" s="113">
        <v>307</v>
      </c>
      <c r="C968" s="64" t="s">
        <v>2461</v>
      </c>
      <c r="D968" s="64" t="s">
        <v>2462</v>
      </c>
      <c r="E968" s="64"/>
      <c r="F968" s="66">
        <v>447</v>
      </c>
      <c r="G968" s="67" t="s">
        <v>2463</v>
      </c>
      <c r="H968" s="278"/>
      <c r="I968" s="66" t="s">
        <v>232</v>
      </c>
      <c r="J968" s="66" t="s">
        <v>2464</v>
      </c>
      <c r="K968" s="66" t="s">
        <v>232</v>
      </c>
      <c r="L968" s="66" t="s">
        <v>350</v>
      </c>
      <c r="M968" s="93">
        <f>O968*N968/1000</f>
        <v>16012</v>
      </c>
      <c r="N968" s="93">
        <v>100</v>
      </c>
      <c r="O968" s="94">
        <v>160120</v>
      </c>
      <c r="P968" s="116"/>
      <c r="Q968" s="71"/>
      <c r="R968" s="66"/>
      <c r="S968" s="66" t="s">
        <v>292</v>
      </c>
      <c r="T968" s="66" t="s">
        <v>2252</v>
      </c>
      <c r="U968" s="78"/>
      <c r="V968" s="78"/>
      <c r="W968" s="78"/>
      <c r="X968" s="78"/>
      <c r="Y968" s="78"/>
      <c r="Z968" s="78"/>
      <c r="AA968" s="78"/>
      <c r="AB968" s="78"/>
      <c r="AC968" s="78"/>
      <c r="AD968" s="96"/>
      <c r="AE968" s="92"/>
      <c r="AF968" s="92"/>
      <c r="AG968" s="32"/>
    </row>
    <row r="969" spans="2:46">
      <c r="B969" s="111"/>
      <c r="C969" s="32" t="s">
        <v>2465</v>
      </c>
      <c r="D969" s="32"/>
      <c r="E969" s="32"/>
      <c r="F969" s="32"/>
      <c r="G969" s="32"/>
      <c r="H969" s="196"/>
      <c r="I969" s="32"/>
      <c r="J969" s="32"/>
      <c r="K969" s="32"/>
      <c r="L969" s="32"/>
      <c r="M969" s="190"/>
      <c r="N969" s="32"/>
      <c r="O969" s="32"/>
      <c r="P969" s="17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</row>
    <row r="970" spans="2:46">
      <c r="B970" s="113">
        <v>308</v>
      </c>
      <c r="C970" s="64" t="s">
        <v>2466</v>
      </c>
      <c r="D970" s="64"/>
      <c r="E970" s="64"/>
      <c r="F970" s="66">
        <v>543</v>
      </c>
      <c r="G970" s="67" t="s">
        <v>2467</v>
      </c>
      <c r="H970" s="278"/>
      <c r="I970" s="66" t="s">
        <v>232</v>
      </c>
      <c r="J970" s="66" t="s">
        <v>96</v>
      </c>
      <c r="K970" s="66" t="s">
        <v>232</v>
      </c>
      <c r="L970" s="66" t="s">
        <v>245</v>
      </c>
      <c r="M970" s="93">
        <v>4324263</v>
      </c>
      <c r="N970" s="93">
        <v>1000</v>
      </c>
      <c r="O970" s="94">
        <v>4324263</v>
      </c>
      <c r="P970" s="115"/>
      <c r="Q970" s="71"/>
      <c r="R970" s="94"/>
      <c r="S970" s="94"/>
      <c r="T970" s="105">
        <v>42432</v>
      </c>
      <c r="U970" s="78"/>
      <c r="V970" s="78"/>
      <c r="W970" s="78"/>
      <c r="X970" s="78"/>
      <c r="Y970" s="78"/>
      <c r="Z970" s="78"/>
      <c r="AA970" s="78"/>
      <c r="AB970" s="78"/>
      <c r="AC970" s="95"/>
      <c r="AD970" s="96"/>
      <c r="AE970" s="92"/>
      <c r="AF970" s="92"/>
      <c r="AG970" s="32"/>
    </row>
    <row r="971" spans="2:46">
      <c r="B971" s="111"/>
      <c r="C971" s="32" t="s">
        <v>2468</v>
      </c>
      <c r="D971" s="32"/>
      <c r="E971" s="32"/>
      <c r="F971" s="32"/>
      <c r="G971" s="32"/>
      <c r="H971" s="196"/>
      <c r="I971" s="32"/>
      <c r="J971" s="32"/>
      <c r="K971" s="32"/>
      <c r="L971" s="32"/>
      <c r="M971" s="190"/>
      <c r="N971" s="32"/>
      <c r="O971" s="32"/>
      <c r="P971" s="17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</row>
    <row r="972" spans="2:46" s="32" customFormat="1">
      <c r="B972" s="113">
        <v>309</v>
      </c>
      <c r="C972" s="64" t="s">
        <v>2469</v>
      </c>
      <c r="D972" s="64" t="s">
        <v>2470</v>
      </c>
      <c r="E972" s="64"/>
      <c r="F972" s="66">
        <v>314</v>
      </c>
      <c r="G972" s="67" t="s">
        <v>2471</v>
      </c>
      <c r="H972" s="278"/>
      <c r="I972" s="66" t="s">
        <v>262</v>
      </c>
      <c r="J972" s="66" t="s">
        <v>2472</v>
      </c>
      <c r="K972" s="66" t="s">
        <v>262</v>
      </c>
      <c r="L972" s="66" t="s">
        <v>233</v>
      </c>
      <c r="M972" s="93">
        <f>O972*N972/1000</f>
        <v>9477.5</v>
      </c>
      <c r="N972" s="93">
        <v>100</v>
      </c>
      <c r="O972" s="94">
        <v>94775</v>
      </c>
      <c r="P972" s="116"/>
      <c r="Q972" s="71"/>
      <c r="R972" s="66"/>
      <c r="S972" s="66" t="s">
        <v>489</v>
      </c>
      <c r="T972" s="66" t="s">
        <v>1064</v>
      </c>
      <c r="U972" s="78"/>
      <c r="V972" s="78"/>
      <c r="W972" s="78"/>
      <c r="X972" s="78"/>
      <c r="Y972" s="78"/>
      <c r="Z972" s="78"/>
      <c r="AA972" s="78"/>
      <c r="AB972" s="78"/>
      <c r="AC972" s="78"/>
      <c r="AD972" s="96"/>
      <c r="AE972" s="92"/>
      <c r="AF972" s="92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</row>
    <row r="973" spans="2:46">
      <c r="B973" s="111"/>
      <c r="C973" s="32"/>
      <c r="D973" s="32"/>
      <c r="E973" s="32"/>
      <c r="F973" s="32"/>
      <c r="G973" s="32"/>
      <c r="H973" s="196"/>
      <c r="I973" s="32"/>
      <c r="J973" s="32"/>
      <c r="K973" s="32"/>
      <c r="L973" s="32"/>
      <c r="M973" s="190"/>
      <c r="N973" s="32"/>
      <c r="O973" s="32"/>
      <c r="P973" s="17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</row>
    <row r="974" spans="2:46">
      <c r="B974" s="111"/>
      <c r="C974" s="32" t="s">
        <v>2473</v>
      </c>
      <c r="D974" s="32"/>
      <c r="E974" s="32"/>
      <c r="F974" s="32"/>
      <c r="G974" s="32"/>
      <c r="H974" s="196"/>
      <c r="I974" s="32"/>
      <c r="J974" s="32"/>
      <c r="K974" s="32"/>
      <c r="L974" s="32"/>
      <c r="M974" s="190"/>
      <c r="N974" s="32"/>
      <c r="O974" s="32"/>
      <c r="P974" s="17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</row>
    <row r="975" spans="2:46">
      <c r="B975" s="63">
        <v>310</v>
      </c>
      <c r="C975" s="64" t="s">
        <v>2474</v>
      </c>
      <c r="D975" s="64" t="s">
        <v>2475</v>
      </c>
      <c r="E975" s="64"/>
      <c r="F975" s="66">
        <v>225</v>
      </c>
      <c r="G975" s="67" t="s">
        <v>2476</v>
      </c>
      <c r="H975" s="278"/>
      <c r="I975" s="66" t="s">
        <v>422</v>
      </c>
      <c r="J975" s="66" t="s">
        <v>2477</v>
      </c>
      <c r="K975" s="66" t="s">
        <v>422</v>
      </c>
      <c r="L975" s="66" t="s">
        <v>380</v>
      </c>
      <c r="M975" s="93">
        <f t="shared" ref="M975:M981" si="20">O975*N975/1000</f>
        <v>12709.4</v>
      </c>
      <c r="N975" s="93">
        <v>100</v>
      </c>
      <c r="O975" s="94">
        <v>127094</v>
      </c>
      <c r="P975" s="70">
        <f>+Q975/O975</f>
        <v>0.51000047209152277</v>
      </c>
      <c r="Q975" s="71">
        <v>64818</v>
      </c>
      <c r="R975" s="94"/>
      <c r="S975" s="94" t="s">
        <v>423</v>
      </c>
      <c r="T975" s="94"/>
      <c r="U975" s="78"/>
      <c r="V975" s="78"/>
      <c r="W975" s="78"/>
      <c r="X975" s="78"/>
      <c r="Y975" s="78"/>
      <c r="Z975" s="78"/>
      <c r="AA975" s="78"/>
      <c r="AB975" s="78"/>
      <c r="AC975" s="95"/>
      <c r="AD975" s="96"/>
      <c r="AE975" s="97"/>
      <c r="AF975" s="92"/>
      <c r="AG975" s="32"/>
    </row>
    <row r="976" spans="2:46">
      <c r="B976" s="63">
        <v>311</v>
      </c>
      <c r="C976" s="64" t="s">
        <v>2478</v>
      </c>
      <c r="D976" s="64" t="s">
        <v>2479</v>
      </c>
      <c r="E976" s="64"/>
      <c r="F976" s="66">
        <v>375</v>
      </c>
      <c r="G976" s="67" t="s">
        <v>2476</v>
      </c>
      <c r="H976" s="278"/>
      <c r="I976" s="66" t="s">
        <v>406</v>
      </c>
      <c r="J976" s="66" t="s">
        <v>2480</v>
      </c>
      <c r="K976" s="66" t="s">
        <v>406</v>
      </c>
      <c r="L976" s="66" t="s">
        <v>233</v>
      </c>
      <c r="M976" s="93">
        <f t="shared" si="20"/>
        <v>13587</v>
      </c>
      <c r="N976" s="93">
        <v>100</v>
      </c>
      <c r="O976" s="94">
        <v>135870</v>
      </c>
      <c r="P976" s="70">
        <f>+Q976/O976</f>
        <v>0.51000220799293439</v>
      </c>
      <c r="Q976" s="71">
        <v>69294</v>
      </c>
      <c r="R976" s="94"/>
      <c r="S976" s="94" t="s">
        <v>407</v>
      </c>
      <c r="T976" s="94" t="s">
        <v>2297</v>
      </c>
      <c r="U976" s="78">
        <v>55700</v>
      </c>
      <c r="V976" s="78"/>
      <c r="W976" s="78"/>
      <c r="X976" s="78"/>
      <c r="Y976" s="78"/>
      <c r="Z976" s="78"/>
      <c r="AA976" s="78"/>
      <c r="AB976" s="78"/>
      <c r="AC976" s="95"/>
      <c r="AD976" s="96"/>
      <c r="AE976" s="97"/>
      <c r="AF976" s="92"/>
      <c r="AG976" s="32"/>
    </row>
    <row r="977" spans="2:33">
      <c r="B977" s="63">
        <v>312</v>
      </c>
      <c r="C977" s="64" t="s">
        <v>2481</v>
      </c>
      <c r="D977" s="64" t="s">
        <v>2482</v>
      </c>
      <c r="E977" s="64"/>
      <c r="F977" s="66">
        <v>286</v>
      </c>
      <c r="G977" s="67" t="s">
        <v>2476</v>
      </c>
      <c r="H977" s="278"/>
      <c r="I977" s="66" t="s">
        <v>406</v>
      </c>
      <c r="J977" s="66" t="s">
        <v>2483</v>
      </c>
      <c r="K977" s="66" t="s">
        <v>406</v>
      </c>
      <c r="L977" s="66" t="s">
        <v>233</v>
      </c>
      <c r="M977" s="93">
        <f t="shared" si="20"/>
        <v>5111</v>
      </c>
      <c r="N977" s="93">
        <v>100</v>
      </c>
      <c r="O977" s="94">
        <v>51110</v>
      </c>
      <c r="P977" s="70">
        <f>+Q977/O977</f>
        <v>0.50999804343572686</v>
      </c>
      <c r="Q977" s="71">
        <v>26066</v>
      </c>
      <c r="R977" s="94"/>
      <c r="S977" s="94" t="s">
        <v>407</v>
      </c>
      <c r="T977" s="94"/>
      <c r="U977" s="78"/>
      <c r="V977" s="78"/>
      <c r="W977" s="78"/>
      <c r="X977" s="78"/>
      <c r="Y977" s="78"/>
      <c r="Z977" s="78"/>
      <c r="AA977" s="78"/>
      <c r="AB977" s="78"/>
      <c r="AC977" s="95"/>
      <c r="AD977" s="96"/>
      <c r="AE977" s="97"/>
      <c r="AF977" s="92"/>
      <c r="AG977" s="32"/>
    </row>
    <row r="978" spans="2:33">
      <c r="B978" s="113">
        <v>313</v>
      </c>
      <c r="C978" s="64" t="s">
        <v>2484</v>
      </c>
      <c r="D978" s="64" t="s">
        <v>2485</v>
      </c>
      <c r="E978" s="64"/>
      <c r="F978" s="66">
        <v>216</v>
      </c>
      <c r="G978" s="67" t="s">
        <v>2476</v>
      </c>
      <c r="H978" s="278"/>
      <c r="I978" s="66" t="s">
        <v>406</v>
      </c>
      <c r="J978" s="66" t="s">
        <v>2486</v>
      </c>
      <c r="K978" s="66" t="s">
        <v>406</v>
      </c>
      <c r="L978" s="66" t="s">
        <v>259</v>
      </c>
      <c r="M978" s="93">
        <f t="shared" si="20"/>
        <v>16251.4</v>
      </c>
      <c r="N978" s="93">
        <v>100</v>
      </c>
      <c r="O978" s="94">
        <v>162514</v>
      </c>
      <c r="P978" s="116"/>
      <c r="Q978" s="71"/>
      <c r="R978" s="66"/>
      <c r="S978" s="66" t="s">
        <v>292</v>
      </c>
      <c r="T978" s="66" t="s">
        <v>2487</v>
      </c>
      <c r="U978" s="78"/>
      <c r="V978" s="78"/>
      <c r="W978" s="78"/>
      <c r="X978" s="78"/>
      <c r="Y978" s="78"/>
      <c r="Z978" s="78"/>
      <c r="AA978" s="78"/>
      <c r="AB978" s="78"/>
      <c r="AC978" s="78"/>
      <c r="AD978" s="96"/>
      <c r="AE978" s="92"/>
      <c r="AF978" s="92"/>
      <c r="AG978" s="32"/>
    </row>
    <row r="979" spans="2:33">
      <c r="B979" s="113">
        <v>314</v>
      </c>
      <c r="C979" s="64" t="s">
        <v>2488</v>
      </c>
      <c r="D979" s="64" t="s">
        <v>2489</v>
      </c>
      <c r="E979" s="64"/>
      <c r="F979" s="66">
        <v>318</v>
      </c>
      <c r="G979" s="67" t="s">
        <v>2476</v>
      </c>
      <c r="H979" s="278"/>
      <c r="I979" s="66" t="s">
        <v>232</v>
      </c>
      <c r="J979" s="66" t="s">
        <v>2490</v>
      </c>
      <c r="K979" s="66" t="s">
        <v>232</v>
      </c>
      <c r="L979" s="66" t="s">
        <v>350</v>
      </c>
      <c r="M979" s="93">
        <f t="shared" si="20"/>
        <v>11437.8</v>
      </c>
      <c r="N979" s="93">
        <v>100</v>
      </c>
      <c r="O979" s="94">
        <v>114378</v>
      </c>
      <c r="P979" s="116"/>
      <c r="Q979" s="71"/>
      <c r="R979" s="66"/>
      <c r="S979" s="66" t="s">
        <v>323</v>
      </c>
      <c r="T979" s="66" t="s">
        <v>1755</v>
      </c>
      <c r="U979" s="78"/>
      <c r="V979" s="78"/>
      <c r="W979" s="78"/>
      <c r="X979" s="78"/>
      <c r="Y979" s="78"/>
      <c r="Z979" s="78"/>
      <c r="AA979" s="78"/>
      <c r="AB979" s="78"/>
      <c r="AC979" s="78"/>
      <c r="AD979" s="96"/>
      <c r="AE979" s="92"/>
      <c r="AF979" s="92"/>
      <c r="AG979" s="32"/>
    </row>
    <row r="980" spans="2:33">
      <c r="B980" s="113">
        <v>315</v>
      </c>
      <c r="C980" s="64" t="s">
        <v>2491</v>
      </c>
      <c r="D980" s="64" t="s">
        <v>2492</v>
      </c>
      <c r="E980" s="64"/>
      <c r="F980" s="66">
        <v>235</v>
      </c>
      <c r="G980" s="67" t="s">
        <v>2476</v>
      </c>
      <c r="H980" s="278"/>
      <c r="I980" s="66" t="s">
        <v>1480</v>
      </c>
      <c r="J980" s="66" t="s">
        <v>2493</v>
      </c>
      <c r="K980" s="66" t="s">
        <v>1480</v>
      </c>
      <c r="L980" s="66" t="s">
        <v>233</v>
      </c>
      <c r="M980" s="93">
        <f t="shared" si="20"/>
        <v>7848.9</v>
      </c>
      <c r="N980" s="93">
        <v>100</v>
      </c>
      <c r="O980" s="94">
        <v>78489</v>
      </c>
      <c r="P980" s="116"/>
      <c r="Q980" s="71"/>
      <c r="R980" s="66"/>
      <c r="S980" s="66" t="s">
        <v>1482</v>
      </c>
      <c r="T980" s="66"/>
      <c r="U980" s="78"/>
      <c r="V980" s="78"/>
      <c r="W980" s="78"/>
      <c r="X980" s="78"/>
      <c r="Y980" s="78"/>
      <c r="Z980" s="78"/>
      <c r="AA980" s="78"/>
      <c r="AB980" s="78"/>
      <c r="AC980" s="78"/>
      <c r="AD980" s="96"/>
      <c r="AE980" s="92"/>
      <c r="AF980" s="92">
        <f>120*180</f>
        <v>21600</v>
      </c>
      <c r="AG980" s="32"/>
    </row>
    <row r="981" spans="2:33">
      <c r="B981" s="113">
        <v>316</v>
      </c>
      <c r="C981" s="64" t="s">
        <v>2494</v>
      </c>
      <c r="D981" s="64" t="s">
        <v>2495</v>
      </c>
      <c r="E981" s="64"/>
      <c r="F981" s="66">
        <v>437</v>
      </c>
      <c r="G981" s="67" t="s">
        <v>2476</v>
      </c>
      <c r="H981" s="278"/>
      <c r="I981" s="66" t="s">
        <v>406</v>
      </c>
      <c r="J981" s="66" t="s">
        <v>2496</v>
      </c>
      <c r="K981" s="66" t="s">
        <v>406</v>
      </c>
      <c r="L981" s="66" t="s">
        <v>245</v>
      </c>
      <c r="M981" s="93">
        <f t="shared" si="20"/>
        <v>132348.6</v>
      </c>
      <c r="N981" s="93">
        <v>100</v>
      </c>
      <c r="O981" s="94">
        <v>1323486</v>
      </c>
      <c r="P981" s="116"/>
      <c r="Q981" s="71"/>
      <c r="R981" s="94"/>
      <c r="S981" s="94" t="s">
        <v>407</v>
      </c>
      <c r="T981" s="94" t="s">
        <v>2497</v>
      </c>
      <c r="U981" s="78">
        <v>109464.8</v>
      </c>
      <c r="V981" s="79">
        <v>36278</v>
      </c>
      <c r="W981" s="78"/>
      <c r="X981" s="79">
        <v>36265</v>
      </c>
      <c r="Y981" s="78">
        <v>109464.8</v>
      </c>
      <c r="Z981" s="78">
        <v>1094648</v>
      </c>
      <c r="AA981" s="78">
        <v>227534</v>
      </c>
      <c r="AB981" s="79">
        <v>35748</v>
      </c>
      <c r="AC981" s="78">
        <v>721</v>
      </c>
      <c r="AD981" s="80">
        <v>35828</v>
      </c>
      <c r="AE981" s="75"/>
      <c r="AF981" s="75"/>
      <c r="AG981" s="32"/>
    </row>
    <row r="982" spans="2:33">
      <c r="B982" s="111"/>
      <c r="C982" s="32"/>
      <c r="D982" s="32"/>
      <c r="E982" s="32"/>
      <c r="F982" s="32"/>
      <c r="G982" s="32"/>
      <c r="H982" s="196"/>
      <c r="I982" s="32"/>
      <c r="J982" s="32"/>
      <c r="K982" s="32"/>
      <c r="L982" s="32"/>
      <c r="M982" s="190"/>
      <c r="N982" s="32"/>
      <c r="O982" s="32"/>
      <c r="P982" s="17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</row>
    <row r="983" spans="2:33">
      <c r="B983" s="111"/>
      <c r="C983" s="32" t="s">
        <v>2498</v>
      </c>
      <c r="D983" s="32"/>
      <c r="E983" s="32"/>
      <c r="F983" s="32"/>
      <c r="G983" s="32"/>
      <c r="H983" s="196"/>
      <c r="I983" s="32"/>
      <c r="J983" s="32"/>
      <c r="K983" s="32"/>
      <c r="L983" s="32"/>
      <c r="M983" s="190"/>
      <c r="N983" s="32"/>
      <c r="O983" s="32"/>
      <c r="P983" s="17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</row>
    <row r="984" spans="2:33">
      <c r="B984" s="113">
        <v>317</v>
      </c>
      <c r="C984" s="64" t="s">
        <v>2499</v>
      </c>
      <c r="D984" s="64" t="s">
        <v>2500</v>
      </c>
      <c r="E984" s="64"/>
      <c r="F984" s="63">
        <v>450</v>
      </c>
      <c r="G984" s="67" t="s">
        <v>2501</v>
      </c>
      <c r="H984" s="278"/>
      <c r="I984" s="63" t="s">
        <v>232</v>
      </c>
      <c r="J984" s="63" t="s">
        <v>2502</v>
      </c>
      <c r="K984" s="63" t="s">
        <v>232</v>
      </c>
      <c r="L984" s="63" t="s">
        <v>350</v>
      </c>
      <c r="M984" s="93">
        <f>O984*N984/1000</f>
        <v>375494.40000000002</v>
      </c>
      <c r="N984" s="93">
        <v>28800</v>
      </c>
      <c r="O984" s="103">
        <f>3754944/288</f>
        <v>13038</v>
      </c>
      <c r="P984" s="114"/>
      <c r="Q984" s="71"/>
      <c r="R984" s="94"/>
      <c r="S984" s="94" t="s">
        <v>292</v>
      </c>
      <c r="T984" s="94" t="s">
        <v>293</v>
      </c>
      <c r="U984" s="78"/>
      <c r="V984" s="78"/>
      <c r="W984" s="78"/>
      <c r="X984" s="78"/>
      <c r="Y984" s="78"/>
      <c r="Z984" s="78"/>
      <c r="AA984" s="78">
        <v>1915021</v>
      </c>
      <c r="AB984" s="79">
        <v>35783</v>
      </c>
      <c r="AC984" s="78">
        <v>833</v>
      </c>
      <c r="AD984" s="80">
        <v>35924</v>
      </c>
      <c r="AE984" s="75"/>
      <c r="AF984" s="75"/>
      <c r="AG984" s="32"/>
    </row>
    <row r="985" spans="2:33">
      <c r="B985" s="111"/>
      <c r="C985" s="32"/>
      <c r="D985" s="32"/>
      <c r="E985" s="32"/>
      <c r="F985" s="32"/>
      <c r="G985" s="32"/>
      <c r="H985" s="196"/>
      <c r="I985" s="32"/>
      <c r="J985" s="32"/>
      <c r="K985" s="32"/>
      <c r="L985" s="32"/>
      <c r="M985" s="190"/>
      <c r="N985" s="32"/>
      <c r="O985" s="32"/>
      <c r="P985" s="17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</row>
    <row r="986" spans="2:33">
      <c r="B986" s="111"/>
      <c r="C986" s="32" t="s">
        <v>2503</v>
      </c>
      <c r="D986" s="32"/>
      <c r="E986" s="32"/>
      <c r="F986" s="32"/>
      <c r="G986" s="32"/>
      <c r="H986" s="196"/>
      <c r="I986" s="32"/>
      <c r="J986" s="32"/>
      <c r="K986" s="32"/>
      <c r="L986" s="32"/>
      <c r="M986" s="190"/>
      <c r="N986" s="32"/>
      <c r="O986" s="32"/>
      <c r="P986" s="17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</row>
    <row r="987" spans="2:33">
      <c r="B987" s="111">
        <v>318</v>
      </c>
      <c r="C987" s="271" t="s">
        <v>2504</v>
      </c>
      <c r="D987" s="64" t="s">
        <v>2505</v>
      </c>
      <c r="E987" s="64"/>
      <c r="F987" s="66">
        <v>121</v>
      </c>
      <c r="G987" s="67" t="s">
        <v>2506</v>
      </c>
      <c r="H987" s="278"/>
      <c r="I987" s="66" t="s">
        <v>355</v>
      </c>
      <c r="J987" s="66" t="s">
        <v>2507</v>
      </c>
      <c r="K987" s="66" t="s">
        <v>355</v>
      </c>
      <c r="L987" s="66" t="s">
        <v>350</v>
      </c>
      <c r="M987" s="93">
        <f>O987*N987/1000</f>
        <v>7711.6</v>
      </c>
      <c r="N987" s="93">
        <v>100</v>
      </c>
      <c r="O987" s="94">
        <v>77116</v>
      </c>
      <c r="P987" s="114"/>
      <c r="Q987" s="71"/>
      <c r="R987" s="94"/>
      <c r="S987" s="94" t="s">
        <v>359</v>
      </c>
      <c r="T987" s="94" t="s">
        <v>2508</v>
      </c>
      <c r="U987" s="78"/>
      <c r="V987" s="78"/>
      <c r="W987" s="78"/>
      <c r="X987" s="78"/>
      <c r="Y987" s="78"/>
      <c r="Z987" s="78"/>
      <c r="AA987" s="78">
        <v>15423</v>
      </c>
      <c r="AB987" s="79">
        <v>35942</v>
      </c>
      <c r="AC987" s="78">
        <v>394</v>
      </c>
      <c r="AD987" s="80">
        <v>35976</v>
      </c>
      <c r="AE987" s="75"/>
      <c r="AF987" s="75"/>
      <c r="AG987" s="32"/>
    </row>
    <row r="988" spans="2:33">
      <c r="B988" s="111"/>
      <c r="C988" s="32"/>
      <c r="D988" s="32"/>
      <c r="E988" s="32"/>
      <c r="F988" s="32"/>
      <c r="G988" s="32"/>
      <c r="H988" s="196"/>
      <c r="I988" s="32"/>
      <c r="J988" s="32"/>
      <c r="K988" s="32"/>
      <c r="L988" s="32"/>
      <c r="M988" s="190"/>
      <c r="N988" s="32"/>
      <c r="O988" s="32"/>
      <c r="P988" s="17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</row>
    <row r="989" spans="2:33">
      <c r="B989" s="111"/>
      <c r="C989" s="32" t="s">
        <v>2509</v>
      </c>
      <c r="D989" s="32"/>
      <c r="E989" s="32"/>
      <c r="F989" s="32"/>
      <c r="G989" s="32"/>
      <c r="H989" s="196"/>
      <c r="I989" s="32"/>
      <c r="J989" s="32"/>
      <c r="K989" s="32"/>
      <c r="L989" s="32"/>
      <c r="M989" s="190"/>
      <c r="N989" s="32"/>
      <c r="O989" s="32"/>
      <c r="P989" s="17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</row>
    <row r="990" spans="2:33">
      <c r="B990" s="113">
        <v>319</v>
      </c>
      <c r="C990" s="271" t="s">
        <v>2510</v>
      </c>
      <c r="D990" s="64" t="s">
        <v>2511</v>
      </c>
      <c r="E990" s="64"/>
      <c r="F990" s="63">
        <v>26</v>
      </c>
      <c r="G990" s="67" t="s">
        <v>2512</v>
      </c>
      <c r="H990" s="278"/>
      <c r="I990" s="63" t="s">
        <v>232</v>
      </c>
      <c r="J990" s="63" t="s">
        <v>2513</v>
      </c>
      <c r="K990" s="63" t="s">
        <v>232</v>
      </c>
      <c r="L990" s="63" t="s">
        <v>233</v>
      </c>
      <c r="M990" s="93">
        <f>O990*N990/1000</f>
        <v>5800.8</v>
      </c>
      <c r="N990" s="93">
        <v>100</v>
      </c>
      <c r="O990" s="103">
        <v>58008</v>
      </c>
      <c r="P990" s="116"/>
      <c r="Q990" s="71"/>
      <c r="R990" s="66"/>
      <c r="S990" s="66" t="s">
        <v>323</v>
      </c>
      <c r="T990" s="66" t="s">
        <v>2514</v>
      </c>
      <c r="U990" s="78"/>
      <c r="V990" s="78"/>
      <c r="W990" s="78"/>
      <c r="X990" s="78"/>
      <c r="Y990" s="78"/>
      <c r="Z990" s="78"/>
      <c r="AA990" s="78"/>
      <c r="AB990" s="78"/>
      <c r="AC990" s="78"/>
      <c r="AD990" s="96"/>
      <c r="AE990" s="32"/>
      <c r="AF990" s="32"/>
      <c r="AG990" s="32"/>
    </row>
    <row r="991" spans="2:33">
      <c r="B991" s="111"/>
      <c r="C991" s="32"/>
      <c r="D991" s="32"/>
      <c r="E991" s="32"/>
      <c r="F991" s="32"/>
      <c r="G991" s="32"/>
      <c r="H991" s="196"/>
      <c r="I991" s="32"/>
      <c r="J991" s="32"/>
      <c r="K991" s="32"/>
      <c r="L991" s="32"/>
      <c r="M991" s="190"/>
      <c r="N991" s="32"/>
      <c r="O991" s="32"/>
      <c r="P991" s="17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</row>
    <row r="992" spans="2:33">
      <c r="B992" s="111"/>
      <c r="C992" s="32" t="s">
        <v>2515</v>
      </c>
      <c r="D992" s="32"/>
      <c r="E992" s="32"/>
      <c r="F992" s="32"/>
      <c r="G992" s="32"/>
      <c r="H992" s="196"/>
      <c r="I992" s="32"/>
      <c r="J992" s="32"/>
      <c r="K992" s="32"/>
      <c r="L992" s="32"/>
      <c r="M992" s="190"/>
      <c r="N992" s="32"/>
      <c r="O992" s="32"/>
      <c r="P992" s="17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</row>
    <row r="993" spans="2:43">
      <c r="B993" s="111">
        <v>320</v>
      </c>
      <c r="C993" s="64" t="s">
        <v>2516</v>
      </c>
      <c r="D993" s="64" t="s">
        <v>2517</v>
      </c>
      <c r="E993" s="64"/>
      <c r="F993" s="66">
        <v>316</v>
      </c>
      <c r="G993" s="67" t="s">
        <v>2518</v>
      </c>
      <c r="H993" s="278"/>
      <c r="I993" s="66" t="s">
        <v>232</v>
      </c>
      <c r="J993" s="66" t="s">
        <v>2519</v>
      </c>
      <c r="K993" s="66" t="s">
        <v>232</v>
      </c>
      <c r="L993" s="66" t="s">
        <v>350</v>
      </c>
      <c r="M993" s="93">
        <f>O993*N993/1000</f>
        <v>27536</v>
      </c>
      <c r="N993" s="93">
        <v>100</v>
      </c>
      <c r="O993" s="94">
        <v>275360</v>
      </c>
      <c r="P993" s="116"/>
      <c r="Q993" s="71"/>
      <c r="R993" s="66"/>
      <c r="S993" s="66" t="s">
        <v>292</v>
      </c>
      <c r="T993" s="66" t="s">
        <v>390</v>
      </c>
      <c r="U993" s="99"/>
      <c r="V993" s="78"/>
      <c r="W993" s="78"/>
      <c r="X993" s="78"/>
      <c r="Y993" s="78"/>
      <c r="Z993" s="78"/>
      <c r="AA993" s="78"/>
      <c r="AB993" s="78"/>
      <c r="AC993" s="78"/>
      <c r="AD993" s="96"/>
      <c r="AE993" s="32"/>
      <c r="AF993" s="32"/>
      <c r="AG993" s="32"/>
    </row>
    <row r="994" spans="2:43">
      <c r="B994" s="111"/>
      <c r="C994" s="32"/>
      <c r="D994" s="32"/>
      <c r="E994" s="32"/>
      <c r="F994" s="32"/>
      <c r="G994" s="32"/>
      <c r="H994" s="196"/>
      <c r="I994" s="32"/>
      <c r="J994" s="32"/>
      <c r="K994" s="32"/>
      <c r="L994" s="32"/>
      <c r="M994" s="190"/>
      <c r="N994" s="32"/>
      <c r="O994" s="32"/>
      <c r="P994" s="17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</row>
    <row r="995" spans="2:43">
      <c r="B995" s="111"/>
      <c r="C995" s="32" t="s">
        <v>2520</v>
      </c>
      <c r="D995" s="32"/>
      <c r="E995" s="32"/>
      <c r="F995" s="32"/>
      <c r="G995" s="32"/>
      <c r="H995" s="196"/>
      <c r="I995" s="32"/>
      <c r="J995" s="32"/>
      <c r="K995" s="32"/>
      <c r="L995" s="32"/>
      <c r="M995" s="190"/>
      <c r="N995" s="32"/>
      <c r="O995" s="32"/>
      <c r="P995" s="17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</row>
    <row r="996" spans="2:43">
      <c r="B996" s="111">
        <v>321</v>
      </c>
      <c r="C996" s="271" t="s">
        <v>2521</v>
      </c>
      <c r="D996" s="64" t="s">
        <v>2522</v>
      </c>
      <c r="E996" s="64"/>
      <c r="F996" s="66">
        <v>323</v>
      </c>
      <c r="G996" s="67">
        <f>10000000+F996*1000</f>
        <v>10323000</v>
      </c>
      <c r="H996" s="278"/>
      <c r="I996" s="66" t="s">
        <v>503</v>
      </c>
      <c r="J996" s="66" t="s">
        <v>2523</v>
      </c>
      <c r="K996" s="66" t="s">
        <v>503</v>
      </c>
      <c r="L996" s="66" t="s">
        <v>380</v>
      </c>
      <c r="M996" s="93">
        <f>O996*N996/1000</f>
        <v>48926.2</v>
      </c>
      <c r="N996" s="93">
        <v>100</v>
      </c>
      <c r="O996" s="94">
        <v>489262</v>
      </c>
      <c r="P996" s="70"/>
      <c r="Q996" s="71"/>
      <c r="R996" s="94"/>
      <c r="S996" s="94"/>
      <c r="T996" s="94" t="s">
        <v>2524</v>
      </c>
      <c r="U996" s="78"/>
      <c r="V996" s="78"/>
      <c r="W996" s="78"/>
      <c r="X996" s="78"/>
      <c r="Y996" s="78"/>
      <c r="Z996" s="78"/>
      <c r="AA996" s="78"/>
      <c r="AB996" s="79"/>
      <c r="AC996" s="78"/>
      <c r="AD996" s="80"/>
      <c r="AE996" s="75"/>
      <c r="AF996" s="75"/>
      <c r="AG996" s="32"/>
      <c r="AH996" s="24" t="s">
        <v>2525</v>
      </c>
    </row>
    <row r="997" spans="2:43">
      <c r="B997" s="111"/>
      <c r="C997" s="32"/>
      <c r="D997" s="32"/>
      <c r="E997" s="32"/>
      <c r="F997" s="32"/>
      <c r="G997" s="32"/>
      <c r="H997" s="196"/>
      <c r="I997" s="32"/>
      <c r="J997" s="32"/>
      <c r="K997" s="32"/>
      <c r="L997" s="32"/>
      <c r="M997" s="190"/>
      <c r="N997" s="32"/>
      <c r="O997" s="32"/>
      <c r="P997" s="17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</row>
    <row r="998" spans="2:43">
      <c r="B998" s="111"/>
      <c r="C998" s="32" t="s">
        <v>2526</v>
      </c>
      <c r="D998" s="32"/>
      <c r="E998" s="32"/>
      <c r="F998" s="32"/>
      <c r="G998" s="32"/>
      <c r="H998" s="196"/>
      <c r="I998" s="32"/>
      <c r="J998" s="32"/>
      <c r="K998" s="32"/>
      <c r="L998" s="32"/>
      <c r="M998" s="190"/>
      <c r="N998" s="32"/>
      <c r="O998" s="32"/>
      <c r="P998" s="17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</row>
    <row r="999" spans="2:43">
      <c r="B999" s="63">
        <v>322</v>
      </c>
      <c r="C999" s="64" t="s">
        <v>2527</v>
      </c>
      <c r="D999" s="65" t="s">
        <v>2528</v>
      </c>
      <c r="E999" s="65"/>
      <c r="F999" s="66">
        <v>487</v>
      </c>
      <c r="G999" s="66">
        <v>10487000</v>
      </c>
      <c r="H999" s="280"/>
      <c r="I999" s="66" t="s">
        <v>232</v>
      </c>
      <c r="J999" s="66" t="s">
        <v>2529</v>
      </c>
      <c r="K999" s="66" t="s">
        <v>232</v>
      </c>
      <c r="L999" s="66" t="s">
        <v>233</v>
      </c>
      <c r="M999" s="68">
        <v>1095666.3999999999</v>
      </c>
      <c r="N999" s="68">
        <v>100</v>
      </c>
      <c r="O999" s="69">
        <v>10956664</v>
      </c>
      <c r="P999" s="76">
        <v>1</v>
      </c>
      <c r="Q999" s="71">
        <v>10956664</v>
      </c>
      <c r="R999" s="77"/>
      <c r="S999" s="77" t="s">
        <v>240</v>
      </c>
      <c r="T999" s="77" t="s">
        <v>2530</v>
      </c>
      <c r="U999" s="78"/>
      <c r="V999" s="78"/>
      <c r="W999" s="78"/>
      <c r="X999" s="79"/>
      <c r="Y999" s="78"/>
      <c r="Z999" s="78"/>
      <c r="AA999" s="78"/>
      <c r="AB999" s="79"/>
      <c r="AC999" s="75"/>
      <c r="AD999" s="75" t="s">
        <v>234</v>
      </c>
      <c r="AE999" s="32">
        <v>2</v>
      </c>
    </row>
    <row r="1000" spans="2:43">
      <c r="B1000" s="63">
        <v>323</v>
      </c>
      <c r="C1000" s="64" t="s">
        <v>2531</v>
      </c>
      <c r="D1000" s="64" t="s">
        <v>2532</v>
      </c>
      <c r="E1000" s="64"/>
      <c r="F1000" s="66">
        <v>63</v>
      </c>
      <c r="G1000" s="66">
        <v>10063000</v>
      </c>
      <c r="H1000" s="280"/>
      <c r="I1000" s="66" t="s">
        <v>244</v>
      </c>
      <c r="J1000" s="66" t="s">
        <v>2533</v>
      </c>
      <c r="K1000" s="66" t="s">
        <v>244</v>
      </c>
      <c r="L1000" s="66" t="s">
        <v>350</v>
      </c>
      <c r="M1000" s="93">
        <v>107569.2</v>
      </c>
      <c r="N1000" s="93">
        <v>100</v>
      </c>
      <c r="O1000" s="123">
        <v>1075692</v>
      </c>
      <c r="P1000" s="70">
        <v>0.50999914473659747</v>
      </c>
      <c r="Q1000" s="122">
        <v>548602</v>
      </c>
      <c r="R1000" s="94" t="s">
        <v>234</v>
      </c>
      <c r="S1000" s="94" t="s">
        <v>292</v>
      </c>
      <c r="T1000" s="94" t="s">
        <v>2534</v>
      </c>
      <c r="U1000" s="78"/>
      <c r="V1000" s="78"/>
      <c r="W1000" s="78"/>
      <c r="X1000" s="78"/>
      <c r="Y1000" s="78"/>
      <c r="Z1000" s="78"/>
      <c r="AA1000" s="78"/>
      <c r="AB1000" s="78"/>
      <c r="AC1000" s="97"/>
      <c r="AD1000" s="92"/>
      <c r="AE1000" s="32" t="s">
        <v>2535</v>
      </c>
    </row>
    <row r="1001" spans="2:43">
      <c r="B1001" s="63">
        <v>324</v>
      </c>
      <c r="C1001" s="64" t="s">
        <v>2536</v>
      </c>
      <c r="D1001" s="64" t="s">
        <v>2537</v>
      </c>
      <c r="E1001" s="64"/>
      <c r="F1001" s="66">
        <v>468</v>
      </c>
      <c r="G1001" s="66">
        <v>10468000</v>
      </c>
      <c r="H1001" s="280"/>
      <c r="I1001" s="66" t="s">
        <v>422</v>
      </c>
      <c r="J1001" s="66" t="s">
        <v>2538</v>
      </c>
      <c r="K1001" s="66" t="s">
        <v>422</v>
      </c>
      <c r="L1001" s="66" t="s">
        <v>350</v>
      </c>
      <c r="M1001" s="93">
        <v>24098.9</v>
      </c>
      <c r="N1001" s="93">
        <v>100</v>
      </c>
      <c r="O1001" s="94">
        <v>240989</v>
      </c>
      <c r="P1001" s="114"/>
      <c r="Q1001" s="71"/>
      <c r="R1001" s="94" t="s">
        <v>423</v>
      </c>
      <c r="S1001" s="94" t="s">
        <v>423</v>
      </c>
      <c r="T1001" s="94" t="s">
        <v>1718</v>
      </c>
      <c r="U1001" s="78"/>
      <c r="V1001" s="78"/>
      <c r="W1001" s="78"/>
      <c r="X1001" s="79">
        <v>36069</v>
      </c>
      <c r="Y1001" s="78">
        <v>-23315.8</v>
      </c>
      <c r="Z1001" s="78">
        <v>-233158</v>
      </c>
      <c r="AA1001" s="78"/>
      <c r="AB1001" s="78"/>
      <c r="AC1001" s="92"/>
      <c r="AD1001" s="92"/>
      <c r="AE1001" s="32"/>
    </row>
    <row r="1002" spans="2:43">
      <c r="B1002" s="63">
        <v>325</v>
      </c>
      <c r="C1002" s="64" t="s">
        <v>2539</v>
      </c>
      <c r="D1002" s="65" t="s">
        <v>2540</v>
      </c>
      <c r="E1002" s="65"/>
      <c r="F1002" s="66">
        <v>539</v>
      </c>
      <c r="G1002" s="66">
        <v>10539000</v>
      </c>
      <c r="H1002" s="280"/>
      <c r="I1002" s="66" t="s">
        <v>232</v>
      </c>
      <c r="J1002" s="66" t="s">
        <v>2541</v>
      </c>
      <c r="K1002" s="66" t="s">
        <v>232</v>
      </c>
      <c r="L1002" s="66" t="s">
        <v>239</v>
      </c>
      <c r="M1002" s="93">
        <v>273916975902</v>
      </c>
      <c r="N1002" s="93">
        <v>157350</v>
      </c>
      <c r="O1002" s="131">
        <v>1740813320</v>
      </c>
      <c r="P1002" s="76"/>
      <c r="Q1002" s="71"/>
      <c r="R1002" s="131"/>
      <c r="S1002" s="132"/>
      <c r="T1002" s="132"/>
      <c r="U1002" s="78"/>
      <c r="V1002" s="78"/>
      <c r="W1002" s="78"/>
      <c r="X1002" s="79"/>
      <c r="Y1002" s="78"/>
      <c r="Z1002" s="78"/>
      <c r="AA1002" s="78"/>
      <c r="AB1002" s="79"/>
      <c r="AC1002" s="75"/>
      <c r="AD1002" s="75"/>
      <c r="AE1002" s="32"/>
      <c r="AQ1002" s="134"/>
    </row>
    <row r="1003" spans="2:43">
      <c r="B1003" s="63">
        <v>326</v>
      </c>
      <c r="C1003" s="64" t="s">
        <v>2542</v>
      </c>
      <c r="D1003" s="64" t="s">
        <v>2543</v>
      </c>
      <c r="E1003" s="64"/>
      <c r="F1003" s="66">
        <v>178</v>
      </c>
      <c r="G1003" s="66">
        <v>10178000</v>
      </c>
      <c r="H1003" s="280"/>
      <c r="I1003" s="66" t="s">
        <v>355</v>
      </c>
      <c r="J1003" s="66" t="s">
        <v>2544</v>
      </c>
      <c r="K1003" s="66" t="s">
        <v>355</v>
      </c>
      <c r="L1003" s="66" t="s">
        <v>233</v>
      </c>
      <c r="M1003" s="93">
        <v>4379.8</v>
      </c>
      <c r="N1003" s="93">
        <v>100</v>
      </c>
      <c r="O1003" s="94">
        <v>43798</v>
      </c>
      <c r="P1003" s="116"/>
      <c r="Q1003" s="71"/>
      <c r="R1003" s="66"/>
      <c r="S1003" s="66" t="s">
        <v>359</v>
      </c>
      <c r="T1003" s="66" t="s">
        <v>2545</v>
      </c>
      <c r="U1003" s="78"/>
      <c r="V1003" s="78"/>
      <c r="W1003" s="78"/>
      <c r="X1003" s="78"/>
      <c r="Y1003" s="78"/>
      <c r="Z1003" s="78"/>
      <c r="AA1003" s="78"/>
      <c r="AB1003" s="78"/>
      <c r="AC1003" s="92"/>
      <c r="AD1003" s="92"/>
      <c r="AE1003" s="32"/>
    </row>
    <row r="1004" spans="2:43">
      <c r="B1004" s="111"/>
      <c r="C1004" s="32"/>
      <c r="D1004" s="32"/>
      <c r="E1004" s="32"/>
      <c r="F1004" s="32"/>
      <c r="G1004" s="32"/>
      <c r="H1004" s="196"/>
      <c r="I1004" s="32"/>
      <c r="J1004" s="32"/>
      <c r="K1004" s="32"/>
      <c r="L1004" s="32"/>
      <c r="M1004" s="190"/>
      <c r="N1004" s="32"/>
      <c r="O1004" s="185">
        <f>SUM(O999:O1003)</f>
        <v>1753130463</v>
      </c>
      <c r="P1004" s="172"/>
      <c r="Q1004" s="32"/>
      <c r="R1004" s="32"/>
      <c r="S1004" s="32"/>
      <c r="T1004" s="27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</row>
    <row r="1005" spans="2:43">
      <c r="B1005" s="111"/>
      <c r="C1005" s="32" t="s">
        <v>2546</v>
      </c>
      <c r="D1005" s="32"/>
      <c r="E1005" s="32"/>
      <c r="F1005" s="32"/>
      <c r="G1005" s="32"/>
      <c r="H1005" s="196"/>
      <c r="I1005" s="32"/>
      <c r="J1005" s="32"/>
      <c r="K1005" s="32"/>
      <c r="L1005" s="32"/>
      <c r="M1005" s="190"/>
      <c r="N1005" s="32"/>
      <c r="O1005" s="32"/>
      <c r="P1005" s="17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</row>
    <row r="1006" spans="2:43">
      <c r="B1006" s="63">
        <v>327</v>
      </c>
      <c r="C1006" s="64" t="s">
        <v>2547</v>
      </c>
      <c r="D1006" s="64" t="s">
        <v>733</v>
      </c>
      <c r="E1006" s="64"/>
      <c r="F1006" s="66">
        <v>424</v>
      </c>
      <c r="G1006" s="67">
        <v>10424000</v>
      </c>
      <c r="H1006" s="278"/>
      <c r="I1006" s="66" t="s">
        <v>262</v>
      </c>
      <c r="J1006" s="66" t="s">
        <v>2548</v>
      </c>
      <c r="K1006" s="66" t="s">
        <v>262</v>
      </c>
      <c r="L1006" s="66" t="s">
        <v>245</v>
      </c>
      <c r="M1006" s="93">
        <v>18378</v>
      </c>
      <c r="N1006" s="93">
        <v>100</v>
      </c>
      <c r="O1006" s="94">
        <v>183780</v>
      </c>
      <c r="P1006" s="70">
        <v>0.51000108825769941</v>
      </c>
      <c r="Q1006" s="71">
        <v>93728</v>
      </c>
      <c r="R1006" s="94"/>
      <c r="S1006" s="94" t="s">
        <v>489</v>
      </c>
      <c r="T1006" s="94" t="s">
        <v>2549</v>
      </c>
      <c r="U1006" s="78"/>
      <c r="V1006" s="78"/>
      <c r="W1006" s="78"/>
      <c r="X1006" s="78"/>
      <c r="Y1006" s="78"/>
      <c r="Z1006" s="78"/>
      <c r="AA1006" s="78"/>
      <c r="AB1006" s="78"/>
      <c r="AC1006" s="97"/>
      <c r="AD1006" s="92"/>
      <c r="AE1006" s="32"/>
    </row>
    <row r="1007" spans="2:43">
      <c r="B1007" s="63">
        <v>328</v>
      </c>
      <c r="C1007" s="64" t="s">
        <v>2550</v>
      </c>
      <c r="D1007" s="64" t="s">
        <v>2551</v>
      </c>
      <c r="E1007" s="64"/>
      <c r="F1007" s="66">
        <v>333</v>
      </c>
      <c r="G1007" s="67">
        <v>10333000</v>
      </c>
      <c r="H1007" s="278"/>
      <c r="I1007" s="66" t="s">
        <v>232</v>
      </c>
      <c r="J1007" s="66" t="s">
        <v>2552</v>
      </c>
      <c r="K1007" s="66" t="s">
        <v>232</v>
      </c>
      <c r="L1007" s="66" t="s">
        <v>259</v>
      </c>
      <c r="M1007" s="93">
        <v>51514.9</v>
      </c>
      <c r="N1007" s="93">
        <v>100</v>
      </c>
      <c r="O1007" s="94">
        <v>515149</v>
      </c>
      <c r="P1007" s="116"/>
      <c r="Q1007" s="71"/>
      <c r="R1007" s="94"/>
      <c r="S1007" s="94" t="s">
        <v>292</v>
      </c>
      <c r="T1007" s="94" t="s">
        <v>1319</v>
      </c>
      <c r="U1007" s="78"/>
      <c r="V1007" s="78"/>
      <c r="W1007" s="78"/>
      <c r="X1007" s="78"/>
      <c r="Y1007" s="78"/>
      <c r="Z1007" s="78"/>
      <c r="AA1007" s="78">
        <v>103030</v>
      </c>
      <c r="AB1007" s="79">
        <v>35892</v>
      </c>
      <c r="AC1007" s="75"/>
      <c r="AD1007" s="75"/>
      <c r="AE1007" s="32"/>
    </row>
    <row r="1008" spans="2:43">
      <c r="B1008" s="63">
        <v>329</v>
      </c>
      <c r="C1008" s="64" t="s">
        <v>2553</v>
      </c>
      <c r="D1008" s="64" t="s">
        <v>2554</v>
      </c>
      <c r="E1008" s="64"/>
      <c r="F1008" s="66">
        <v>403</v>
      </c>
      <c r="G1008" s="67">
        <v>10403000</v>
      </c>
      <c r="H1008" s="278"/>
      <c r="I1008" s="66" t="s">
        <v>304</v>
      </c>
      <c r="J1008" s="66" t="s">
        <v>2555</v>
      </c>
      <c r="K1008" s="66" t="s">
        <v>304</v>
      </c>
      <c r="L1008" s="66" t="s">
        <v>380</v>
      </c>
      <c r="M1008" s="93">
        <v>2372.6</v>
      </c>
      <c r="N1008" s="93">
        <v>100</v>
      </c>
      <c r="O1008" s="94">
        <v>23726</v>
      </c>
      <c r="P1008" s="114"/>
      <c r="Q1008" s="71"/>
      <c r="R1008" s="94"/>
      <c r="S1008" s="94" t="s">
        <v>306</v>
      </c>
      <c r="T1008" s="94" t="s">
        <v>861</v>
      </c>
      <c r="U1008" s="78"/>
      <c r="V1008" s="78" t="s">
        <v>240</v>
      </c>
      <c r="W1008" s="79">
        <v>36304</v>
      </c>
      <c r="X1008" s="79">
        <v>36300</v>
      </c>
      <c r="Y1008" s="78"/>
      <c r="Z1008" s="78">
        <v>-43766</v>
      </c>
      <c r="AA1008" s="78">
        <v>14134</v>
      </c>
      <c r="AB1008" s="79">
        <v>35927</v>
      </c>
      <c r="AC1008" s="75"/>
      <c r="AD1008" s="75"/>
      <c r="AE1008" s="32"/>
    </row>
    <row r="1009" spans="2:32">
      <c r="B1009" s="63">
        <v>330</v>
      </c>
      <c r="C1009" s="64" t="s">
        <v>2556</v>
      </c>
      <c r="D1009" s="64" t="s">
        <v>2557</v>
      </c>
      <c r="E1009" s="64"/>
      <c r="F1009" s="66">
        <v>256</v>
      </c>
      <c r="G1009" s="67">
        <v>10256000</v>
      </c>
      <c r="H1009" s="278"/>
      <c r="I1009" s="66" t="s">
        <v>244</v>
      </c>
      <c r="J1009" s="66" t="s">
        <v>2558</v>
      </c>
      <c r="K1009" s="66" t="s">
        <v>244</v>
      </c>
      <c r="L1009" s="66" t="s">
        <v>259</v>
      </c>
      <c r="M1009" s="93">
        <v>7416</v>
      </c>
      <c r="N1009" s="93">
        <v>100</v>
      </c>
      <c r="O1009" s="94">
        <v>74160</v>
      </c>
      <c r="P1009" s="116"/>
      <c r="Q1009" s="71"/>
      <c r="R1009" s="66"/>
      <c r="S1009" s="66" t="s">
        <v>513</v>
      </c>
      <c r="T1009" s="66" t="s">
        <v>2559</v>
      </c>
      <c r="U1009" s="78"/>
      <c r="V1009" s="78"/>
      <c r="W1009" s="78"/>
      <c r="X1009" s="78"/>
      <c r="Y1009" s="78"/>
      <c r="Z1009" s="78"/>
      <c r="AA1009" s="78"/>
      <c r="AB1009" s="78"/>
      <c r="AC1009" s="92"/>
      <c r="AD1009" s="92"/>
      <c r="AE1009" s="32"/>
    </row>
    <row r="1010" spans="2:32">
      <c r="B1010" s="63">
        <v>331</v>
      </c>
      <c r="C1010" s="64" t="s">
        <v>2560</v>
      </c>
      <c r="D1010" s="64" t="s">
        <v>2561</v>
      </c>
      <c r="E1010" s="64"/>
      <c r="F1010" s="66">
        <v>296</v>
      </c>
      <c r="G1010" s="67">
        <v>10296000</v>
      </c>
      <c r="H1010" s="278"/>
      <c r="I1010" s="66" t="s">
        <v>1480</v>
      </c>
      <c r="J1010" s="66" t="s">
        <v>2562</v>
      </c>
      <c r="K1010" s="66" t="s">
        <v>1480</v>
      </c>
      <c r="L1010" s="66" t="s">
        <v>380</v>
      </c>
      <c r="M1010" s="93">
        <v>35659.4</v>
      </c>
      <c r="N1010" s="93">
        <v>100</v>
      </c>
      <c r="O1010" s="94">
        <v>356594</v>
      </c>
      <c r="P1010" s="114"/>
      <c r="Q1010" s="71"/>
      <c r="R1010" s="94"/>
      <c r="S1010" s="94" t="s">
        <v>1482</v>
      </c>
      <c r="T1010" s="94" t="s">
        <v>2563</v>
      </c>
      <c r="U1010" s="78"/>
      <c r="V1010" s="78"/>
      <c r="W1010" s="78"/>
      <c r="X1010" s="78"/>
      <c r="Y1010" s="78"/>
      <c r="Z1010" s="78"/>
      <c r="AA1010" s="78">
        <v>35659</v>
      </c>
      <c r="AB1010" s="79">
        <v>35749</v>
      </c>
      <c r="AC1010" s="74"/>
      <c r="AD1010" s="74"/>
      <c r="AE1010" s="32"/>
    </row>
    <row r="1011" spans="2:32">
      <c r="B1011" s="63">
        <v>332</v>
      </c>
      <c r="C1011" s="64" t="s">
        <v>2564</v>
      </c>
      <c r="D1011" s="64" t="s">
        <v>2565</v>
      </c>
      <c r="E1011" s="64"/>
      <c r="F1011" s="66">
        <v>395</v>
      </c>
      <c r="G1011" s="67">
        <v>10395000</v>
      </c>
      <c r="H1011" s="278"/>
      <c r="I1011" s="66" t="s">
        <v>355</v>
      </c>
      <c r="J1011" s="66" t="s">
        <v>2566</v>
      </c>
      <c r="K1011" s="66" t="s">
        <v>355</v>
      </c>
      <c r="L1011" s="66" t="s">
        <v>380</v>
      </c>
      <c r="M1011" s="93">
        <v>23172.3</v>
      </c>
      <c r="N1011" s="93">
        <v>100</v>
      </c>
      <c r="O1011" s="94">
        <v>231723</v>
      </c>
      <c r="P1011" s="114"/>
      <c r="Q1011" s="71"/>
      <c r="R1011" s="94"/>
      <c r="S1011" s="94" t="s">
        <v>359</v>
      </c>
      <c r="T1011" s="94" t="s">
        <v>301</v>
      </c>
      <c r="U1011" s="78"/>
      <c r="V1011" s="78"/>
      <c r="W1011" s="78"/>
      <c r="X1011" s="78"/>
      <c r="Y1011" s="78"/>
      <c r="Z1011" s="78"/>
      <c r="AA1011" s="78">
        <v>118179</v>
      </c>
      <c r="AB1011" s="79">
        <v>35942</v>
      </c>
      <c r="AC1011" s="75"/>
      <c r="AD1011" s="75"/>
      <c r="AE1011" s="32"/>
    </row>
    <row r="1012" spans="2:32">
      <c r="B1012" s="63">
        <v>333</v>
      </c>
      <c r="C1012" s="64" t="s">
        <v>2567</v>
      </c>
      <c r="D1012" s="64" t="s">
        <v>2568</v>
      </c>
      <c r="E1012" s="64"/>
      <c r="F1012" s="66">
        <v>358</v>
      </c>
      <c r="G1012" s="67">
        <v>10358000</v>
      </c>
      <c r="H1012" s="278"/>
      <c r="I1012" s="66" t="s">
        <v>345</v>
      </c>
      <c r="J1012" s="66" t="s">
        <v>2569</v>
      </c>
      <c r="K1012" s="66" t="s">
        <v>345</v>
      </c>
      <c r="L1012" s="66" t="s">
        <v>233</v>
      </c>
      <c r="M1012" s="93">
        <v>6682.1</v>
      </c>
      <c r="N1012" s="93">
        <v>100</v>
      </c>
      <c r="O1012" s="94">
        <v>66821</v>
      </c>
      <c r="P1012" s="116"/>
      <c r="Q1012" s="71"/>
      <c r="R1012" s="94"/>
      <c r="S1012" s="94" t="s">
        <v>346</v>
      </c>
      <c r="T1012" s="94" t="s">
        <v>1804</v>
      </c>
      <c r="U1012" s="78"/>
      <c r="V1012" s="78"/>
      <c r="W1012" s="78" t="s">
        <v>240</v>
      </c>
      <c r="X1012" s="79">
        <v>35733</v>
      </c>
      <c r="Y1012" s="78"/>
      <c r="Z1012" s="78">
        <v>-69548</v>
      </c>
      <c r="AA1012" s="78"/>
      <c r="AB1012" s="78"/>
      <c r="AC1012" s="92"/>
      <c r="AD1012" s="92"/>
      <c r="AE1012" s="32"/>
    </row>
    <row r="1013" spans="2:32">
      <c r="B1013" s="63">
        <v>334</v>
      </c>
      <c r="C1013" s="64" t="s">
        <v>2570</v>
      </c>
      <c r="D1013" s="64" t="s">
        <v>2571</v>
      </c>
      <c r="E1013" s="64"/>
      <c r="F1013" s="66">
        <v>37</v>
      </c>
      <c r="G1013" s="67">
        <v>10037000</v>
      </c>
      <c r="H1013" s="278"/>
      <c r="I1013" s="66" t="s">
        <v>232</v>
      </c>
      <c r="J1013" s="66" t="s">
        <v>2572</v>
      </c>
      <c r="K1013" s="66" t="s">
        <v>232</v>
      </c>
      <c r="L1013" s="66" t="s">
        <v>245</v>
      </c>
      <c r="M1013" s="93">
        <v>60780.9</v>
      </c>
      <c r="N1013" s="93">
        <v>100</v>
      </c>
      <c r="O1013" s="94">
        <v>607809</v>
      </c>
      <c r="P1013" s="114"/>
      <c r="Q1013" s="71"/>
      <c r="R1013" s="94"/>
      <c r="S1013" s="94" t="s">
        <v>323</v>
      </c>
      <c r="T1013" s="94" t="s">
        <v>2573</v>
      </c>
      <c r="U1013" s="78"/>
      <c r="V1013" s="78"/>
      <c r="W1013" s="78"/>
      <c r="X1013" s="78"/>
      <c r="Y1013" s="78"/>
      <c r="Z1013" s="78"/>
      <c r="AA1013" s="78">
        <v>79827</v>
      </c>
      <c r="AB1013" s="79">
        <v>36112</v>
      </c>
      <c r="AC1013" s="75"/>
      <c r="AD1013" s="75"/>
      <c r="AE1013" s="32" t="s">
        <v>2574</v>
      </c>
    </row>
    <row r="1014" spans="2:32">
      <c r="B1014" s="63">
        <v>335</v>
      </c>
      <c r="C1014" s="64" t="s">
        <v>2575</v>
      </c>
      <c r="D1014" s="64" t="s">
        <v>2482</v>
      </c>
      <c r="E1014" s="64"/>
      <c r="F1014" s="66">
        <v>230</v>
      </c>
      <c r="G1014" s="67">
        <v>10230000</v>
      </c>
      <c r="H1014" s="278"/>
      <c r="I1014" s="66" t="s">
        <v>406</v>
      </c>
      <c r="J1014" s="66" t="s">
        <v>2576</v>
      </c>
      <c r="K1014" s="66" t="s">
        <v>406</v>
      </c>
      <c r="L1014" s="66" t="s">
        <v>233</v>
      </c>
      <c r="M1014" s="93">
        <v>5946</v>
      </c>
      <c r="N1014" s="93">
        <v>100</v>
      </c>
      <c r="O1014" s="94">
        <v>59460</v>
      </c>
      <c r="P1014" s="116"/>
      <c r="Q1014" s="71"/>
      <c r="R1014" s="66"/>
      <c r="S1014" s="66" t="s">
        <v>407</v>
      </c>
      <c r="T1014" s="66"/>
      <c r="U1014" s="78"/>
      <c r="V1014" s="78"/>
      <c r="W1014" s="78"/>
      <c r="X1014" s="78"/>
      <c r="Y1014" s="78"/>
      <c r="Z1014" s="78"/>
      <c r="AA1014" s="78"/>
      <c r="AB1014" s="78"/>
      <c r="AC1014" s="92"/>
      <c r="AD1014" s="92"/>
      <c r="AE1014" s="32"/>
    </row>
    <row r="1015" spans="2:32">
      <c r="B1015" s="63">
        <v>336</v>
      </c>
      <c r="C1015" s="64" t="s">
        <v>2577</v>
      </c>
      <c r="D1015" s="64" t="s">
        <v>2578</v>
      </c>
      <c r="E1015" s="64"/>
      <c r="F1015" s="66">
        <v>157</v>
      </c>
      <c r="G1015" s="67">
        <v>10157000</v>
      </c>
      <c r="H1015" s="278"/>
      <c r="I1015" s="66" t="s">
        <v>503</v>
      </c>
      <c r="J1015" s="66" t="s">
        <v>2579</v>
      </c>
      <c r="K1015" s="66" t="s">
        <v>503</v>
      </c>
      <c r="L1015" s="66" t="s">
        <v>233</v>
      </c>
      <c r="M1015" s="93">
        <v>5596.2</v>
      </c>
      <c r="N1015" s="93">
        <v>100</v>
      </c>
      <c r="O1015" s="94">
        <v>55962</v>
      </c>
      <c r="P1015" s="116"/>
      <c r="Q1015" s="71"/>
      <c r="R1015" s="66"/>
      <c r="S1015" s="66" t="s">
        <v>504</v>
      </c>
      <c r="T1015" s="66" t="s">
        <v>2534</v>
      </c>
      <c r="U1015" s="78"/>
      <c r="V1015" s="78"/>
      <c r="W1015" s="78"/>
      <c r="X1015" s="78"/>
      <c r="Y1015" s="78"/>
      <c r="Z1015" s="78"/>
      <c r="AA1015" s="78"/>
      <c r="AB1015" s="78"/>
      <c r="AC1015" s="92"/>
      <c r="AD1015" s="92"/>
      <c r="AE1015" s="32"/>
    </row>
    <row r="1016" spans="2:32">
      <c r="B1016" s="63">
        <v>337</v>
      </c>
      <c r="C1016" s="64" t="s">
        <v>2580</v>
      </c>
      <c r="D1016" s="64" t="s">
        <v>2581</v>
      </c>
      <c r="E1016" s="64"/>
      <c r="F1016" s="66">
        <v>185</v>
      </c>
      <c r="G1016" s="67">
        <v>10185000</v>
      </c>
      <c r="H1016" s="278"/>
      <c r="I1016" s="66" t="s">
        <v>232</v>
      </c>
      <c r="J1016" s="66" t="s">
        <v>2582</v>
      </c>
      <c r="K1016" s="66" t="s">
        <v>232</v>
      </c>
      <c r="L1016" s="66" t="s">
        <v>245</v>
      </c>
      <c r="M1016" s="93">
        <v>18157.099999999999</v>
      </c>
      <c r="N1016" s="93">
        <v>100</v>
      </c>
      <c r="O1016" s="94">
        <v>181571</v>
      </c>
      <c r="P1016" s="116"/>
      <c r="Q1016" s="71"/>
      <c r="R1016" s="66"/>
      <c r="S1016" s="66" t="s">
        <v>292</v>
      </c>
      <c r="T1016" s="66" t="s">
        <v>2583</v>
      </c>
      <c r="U1016" s="78"/>
      <c r="V1016" s="78"/>
      <c r="W1016" s="78"/>
      <c r="X1016" s="78"/>
      <c r="Y1016" s="78"/>
      <c r="Z1016" s="78"/>
      <c r="AA1016" s="78"/>
      <c r="AB1016" s="78"/>
      <c r="AC1016" s="92"/>
      <c r="AD1016" s="92"/>
      <c r="AE1016" s="32"/>
    </row>
    <row r="1017" spans="2:32">
      <c r="B1017" s="63">
        <v>338</v>
      </c>
      <c r="C1017" s="64" t="s">
        <v>2584</v>
      </c>
      <c r="D1017" s="64" t="s">
        <v>2585</v>
      </c>
      <c r="E1017" s="64"/>
      <c r="F1017" s="66">
        <v>130</v>
      </c>
      <c r="G1017" s="67">
        <v>10130000</v>
      </c>
      <c r="H1017" s="278"/>
      <c r="I1017" s="66" t="s">
        <v>503</v>
      </c>
      <c r="J1017" s="66" t="s">
        <v>2586</v>
      </c>
      <c r="K1017" s="66" t="s">
        <v>503</v>
      </c>
      <c r="L1017" s="66" t="s">
        <v>233</v>
      </c>
      <c r="M1017" s="93">
        <v>15997.7</v>
      </c>
      <c r="N1017" s="93">
        <v>100</v>
      </c>
      <c r="O1017" s="94">
        <v>159977</v>
      </c>
      <c r="P1017" s="70"/>
      <c r="Q1017" s="71"/>
      <c r="R1017" s="94" t="s">
        <v>234</v>
      </c>
      <c r="S1017" s="94" t="s">
        <v>504</v>
      </c>
      <c r="T1017" s="94" t="s">
        <v>2587</v>
      </c>
      <c r="U1017" s="78"/>
      <c r="V1017" s="78"/>
      <c r="W1017" s="78"/>
      <c r="X1017" s="78"/>
      <c r="Y1017" s="78"/>
      <c r="Z1017" s="78"/>
      <c r="AA1017" s="78"/>
      <c r="AB1017" s="78"/>
      <c r="AC1017" s="92"/>
      <c r="AD1017" s="92"/>
      <c r="AE1017" s="32"/>
    </row>
    <row r="1018" spans="2:32">
      <c r="B1018" s="63">
        <v>339</v>
      </c>
      <c r="C1018" s="64" t="s">
        <v>2588</v>
      </c>
      <c r="D1018" s="64" t="s">
        <v>2589</v>
      </c>
      <c r="E1018" s="64"/>
      <c r="F1018" s="66">
        <v>50</v>
      </c>
      <c r="G1018" s="67">
        <v>10050000</v>
      </c>
      <c r="H1018" s="278"/>
      <c r="I1018" s="66" t="s">
        <v>232</v>
      </c>
      <c r="J1018" s="66" t="s">
        <v>2590</v>
      </c>
      <c r="K1018" s="66" t="s">
        <v>232</v>
      </c>
      <c r="L1018" s="66" t="s">
        <v>233</v>
      </c>
      <c r="M1018" s="93">
        <v>7108.6</v>
      </c>
      <c r="N1018" s="93">
        <v>100</v>
      </c>
      <c r="O1018" s="94">
        <v>71086</v>
      </c>
      <c r="P1018" s="116"/>
      <c r="Q1018" s="71"/>
      <c r="R1018" s="66"/>
      <c r="S1018" s="66" t="s">
        <v>292</v>
      </c>
      <c r="T1018" s="66" t="s">
        <v>2591</v>
      </c>
      <c r="U1018" s="78"/>
      <c r="V1018" s="78"/>
      <c r="W1018" s="78"/>
      <c r="X1018" s="78"/>
      <c r="Y1018" s="78"/>
      <c r="Z1018" s="78"/>
      <c r="AA1018" s="78"/>
      <c r="AB1018" s="78"/>
      <c r="AC1018" s="92"/>
      <c r="AD1018" s="92"/>
      <c r="AE1018" s="32"/>
    </row>
    <row r="1019" spans="2:32">
      <c r="B1019" s="63">
        <v>340</v>
      </c>
      <c r="C1019" s="64" t="s">
        <v>2592</v>
      </c>
      <c r="D1019" s="64" t="s">
        <v>1013</v>
      </c>
      <c r="E1019" s="64"/>
      <c r="F1019" s="66">
        <v>212</v>
      </c>
      <c r="G1019" s="67">
        <v>10212000</v>
      </c>
      <c r="H1019" s="278"/>
      <c r="I1019" s="66" t="s">
        <v>296</v>
      </c>
      <c r="J1019" s="66" t="s">
        <v>2593</v>
      </c>
      <c r="K1019" s="66" t="s">
        <v>296</v>
      </c>
      <c r="L1019" s="66" t="s">
        <v>233</v>
      </c>
      <c r="M1019" s="93">
        <v>10239.4</v>
      </c>
      <c r="N1019" s="93">
        <v>100</v>
      </c>
      <c r="O1019" s="94">
        <v>102394</v>
      </c>
      <c r="P1019" s="114"/>
      <c r="Q1019" s="71"/>
      <c r="R1019" s="94"/>
      <c r="S1019" s="94" t="s">
        <v>297</v>
      </c>
      <c r="T1019" s="94" t="s">
        <v>2594</v>
      </c>
      <c r="U1019" s="78"/>
      <c r="V1019" s="78"/>
      <c r="W1019" s="78"/>
      <c r="X1019" s="78"/>
      <c r="Y1019" s="78"/>
      <c r="Z1019" s="78"/>
      <c r="AA1019" s="78">
        <v>52221</v>
      </c>
      <c r="AB1019" s="79">
        <v>36091</v>
      </c>
      <c r="AC1019" s="75"/>
      <c r="AD1019" s="75"/>
      <c r="AE1019" s="32"/>
    </row>
    <row r="1020" spans="2:32">
      <c r="B1020" s="63">
        <v>341</v>
      </c>
      <c r="C1020" s="64" t="s">
        <v>2595</v>
      </c>
      <c r="D1020" s="64" t="s">
        <v>2596</v>
      </c>
      <c r="E1020" s="64"/>
      <c r="F1020" s="66">
        <v>449</v>
      </c>
      <c r="G1020" s="67">
        <v>10449000</v>
      </c>
      <c r="H1020" s="278"/>
      <c r="I1020" s="66" t="s">
        <v>436</v>
      </c>
      <c r="J1020" s="66" t="s">
        <v>2597</v>
      </c>
      <c r="K1020" s="66" t="s">
        <v>436</v>
      </c>
      <c r="L1020" s="66" t="s">
        <v>245</v>
      </c>
      <c r="M1020" s="93">
        <v>15652.5</v>
      </c>
      <c r="N1020" s="93">
        <v>100</v>
      </c>
      <c r="O1020" s="94">
        <v>156525</v>
      </c>
      <c r="P1020" s="116"/>
      <c r="Q1020" s="71"/>
      <c r="R1020" s="94"/>
      <c r="S1020" s="94" t="s">
        <v>496</v>
      </c>
      <c r="T1020" s="94" t="s">
        <v>2598</v>
      </c>
      <c r="U1020" s="78"/>
      <c r="V1020" s="78"/>
      <c r="W1020" s="78"/>
      <c r="X1020" s="78"/>
      <c r="Y1020" s="78"/>
      <c r="Z1020" s="78"/>
      <c r="AA1020" s="78">
        <v>79828</v>
      </c>
      <c r="AB1020" s="79">
        <v>35769</v>
      </c>
      <c r="AC1020" s="75"/>
      <c r="AD1020" s="75"/>
      <c r="AE1020" s="32"/>
    </row>
    <row r="1021" spans="2:32">
      <c r="B1021" s="63">
        <v>342</v>
      </c>
      <c r="C1021" s="64" t="s">
        <v>2599</v>
      </c>
      <c r="D1021" s="64" t="s">
        <v>2600</v>
      </c>
      <c r="E1021" s="64"/>
      <c r="F1021" s="66">
        <v>421</v>
      </c>
      <c r="G1021" s="67">
        <v>10421000</v>
      </c>
      <c r="H1021" s="278"/>
      <c r="I1021" s="66" t="s">
        <v>422</v>
      </c>
      <c r="J1021" s="66" t="s">
        <v>2601</v>
      </c>
      <c r="K1021" s="66" t="s">
        <v>422</v>
      </c>
      <c r="L1021" s="66" t="s">
        <v>233</v>
      </c>
      <c r="M1021" s="93">
        <v>15978.1</v>
      </c>
      <c r="N1021" s="93">
        <v>100</v>
      </c>
      <c r="O1021" s="94">
        <v>159781</v>
      </c>
      <c r="P1021" s="70"/>
      <c r="Q1021" s="71"/>
      <c r="R1021" s="94" t="s">
        <v>422</v>
      </c>
      <c r="S1021" s="94" t="s">
        <v>423</v>
      </c>
      <c r="T1021" s="94" t="s">
        <v>2602</v>
      </c>
      <c r="U1021" s="78"/>
      <c r="V1021" s="78"/>
      <c r="W1021" s="78"/>
      <c r="X1021" s="78"/>
      <c r="Y1021" s="78"/>
      <c r="Z1021" s="78"/>
      <c r="AA1021" s="78"/>
      <c r="AB1021" s="78"/>
      <c r="AC1021" s="92"/>
      <c r="AD1021" s="92"/>
      <c r="AE1021" s="92" t="s">
        <v>2603</v>
      </c>
      <c r="AF1021" s="24" t="s">
        <v>2604</v>
      </c>
    </row>
    <row r="1022" spans="2:32">
      <c r="B1022" s="63">
        <v>343</v>
      </c>
      <c r="C1022" s="64" t="s">
        <v>2605</v>
      </c>
      <c r="D1022" s="64" t="s">
        <v>2606</v>
      </c>
      <c r="E1022" s="64"/>
      <c r="F1022" s="66">
        <v>372</v>
      </c>
      <c r="G1022" s="67">
        <v>10372000</v>
      </c>
      <c r="H1022" s="278"/>
      <c r="I1022" s="66" t="s">
        <v>708</v>
      </c>
      <c r="J1022" s="66" t="s">
        <v>2607</v>
      </c>
      <c r="K1022" s="66" t="s">
        <v>708</v>
      </c>
      <c r="L1022" s="66" t="s">
        <v>350</v>
      </c>
      <c r="M1022" s="93">
        <v>19371.2</v>
      </c>
      <c r="N1022" s="93">
        <v>100</v>
      </c>
      <c r="O1022" s="94">
        <v>193712</v>
      </c>
      <c r="P1022" s="114"/>
      <c r="Q1022" s="71"/>
      <c r="R1022" s="94"/>
      <c r="S1022" s="94" t="s">
        <v>709</v>
      </c>
      <c r="T1022" s="94" t="s">
        <v>2608</v>
      </c>
      <c r="U1022" s="78"/>
      <c r="V1022" s="78"/>
      <c r="W1022" s="78"/>
      <c r="X1022" s="78"/>
      <c r="Y1022" s="78"/>
      <c r="Z1022" s="78"/>
      <c r="AA1022" s="78">
        <v>98793</v>
      </c>
      <c r="AB1022" s="79">
        <v>35961</v>
      </c>
      <c r="AC1022" s="75"/>
      <c r="AD1022" s="75"/>
      <c r="AE1022" s="32"/>
    </row>
    <row r="1023" spans="2:32">
      <c r="B1023" s="63">
        <v>344</v>
      </c>
      <c r="C1023" s="64" t="s">
        <v>2609</v>
      </c>
      <c r="D1023" s="64" t="s">
        <v>2610</v>
      </c>
      <c r="E1023" s="64"/>
      <c r="F1023" s="66">
        <v>365</v>
      </c>
      <c r="G1023" s="67">
        <v>10365000</v>
      </c>
      <c r="H1023" s="278"/>
      <c r="I1023" s="66" t="s">
        <v>232</v>
      </c>
      <c r="J1023" s="66" t="s">
        <v>2611</v>
      </c>
      <c r="K1023" s="66" t="s">
        <v>232</v>
      </c>
      <c r="L1023" s="66" t="s">
        <v>245</v>
      </c>
      <c r="M1023" s="93">
        <v>8848.2999999999993</v>
      </c>
      <c r="N1023" s="93">
        <v>100</v>
      </c>
      <c r="O1023" s="94">
        <v>88483</v>
      </c>
      <c r="P1023" s="116"/>
      <c r="Q1023" s="71"/>
      <c r="R1023" s="66"/>
      <c r="S1023" s="66" t="s">
        <v>292</v>
      </c>
      <c r="T1023" s="66" t="s">
        <v>2039</v>
      </c>
      <c r="U1023" s="78"/>
      <c r="V1023" s="78"/>
      <c r="W1023" s="78"/>
      <c r="X1023" s="78"/>
      <c r="Y1023" s="78"/>
      <c r="Z1023" s="78"/>
      <c r="AA1023" s="78"/>
      <c r="AB1023" s="78"/>
      <c r="AC1023" s="92"/>
      <c r="AD1023" s="92"/>
      <c r="AE1023" s="32"/>
    </row>
    <row r="1024" spans="2:32">
      <c r="B1024" s="63">
        <v>345</v>
      </c>
      <c r="C1024" s="64" t="s">
        <v>2612</v>
      </c>
      <c r="D1024" s="64" t="s">
        <v>2613</v>
      </c>
      <c r="E1024" s="64"/>
      <c r="F1024" s="66">
        <v>161</v>
      </c>
      <c r="G1024" s="67">
        <v>10161000</v>
      </c>
      <c r="H1024" s="278"/>
      <c r="I1024" s="66" t="s">
        <v>296</v>
      </c>
      <c r="J1024" s="66" t="s">
        <v>2614</v>
      </c>
      <c r="K1024" s="66" t="s">
        <v>296</v>
      </c>
      <c r="L1024" s="66" t="s">
        <v>233</v>
      </c>
      <c r="M1024" s="93">
        <v>20921</v>
      </c>
      <c r="N1024" s="93">
        <v>100</v>
      </c>
      <c r="O1024" s="94">
        <v>209210</v>
      </c>
      <c r="P1024" s="116"/>
      <c r="Q1024" s="71"/>
      <c r="R1024" s="66"/>
      <c r="S1024" s="66" t="s">
        <v>297</v>
      </c>
      <c r="T1024" s="66" t="s">
        <v>598</v>
      </c>
      <c r="U1024" s="78" t="s">
        <v>2615</v>
      </c>
      <c r="V1024" s="78"/>
      <c r="W1024" s="78"/>
      <c r="X1024" s="79">
        <v>36062</v>
      </c>
      <c r="Y1024" s="99">
        <v>11813</v>
      </c>
      <c r="Z1024" s="78">
        <v>118130</v>
      </c>
      <c r="AA1024" s="78"/>
      <c r="AB1024" s="78"/>
      <c r="AC1024" s="92"/>
      <c r="AD1024" s="92"/>
      <c r="AE1024" s="32"/>
    </row>
    <row r="1025" spans="2:33">
      <c r="B1025" s="63">
        <v>346</v>
      </c>
      <c r="C1025" s="64" t="s">
        <v>2616</v>
      </c>
      <c r="D1025" s="64" t="s">
        <v>2617</v>
      </c>
      <c r="E1025" s="64"/>
      <c r="F1025" s="63">
        <v>181</v>
      </c>
      <c r="G1025" s="67">
        <v>10181000</v>
      </c>
      <c r="H1025" s="278"/>
      <c r="I1025" s="63" t="s">
        <v>422</v>
      </c>
      <c r="J1025" s="63" t="s">
        <v>2618</v>
      </c>
      <c r="K1025" s="63" t="s">
        <v>422</v>
      </c>
      <c r="L1025" s="63" t="s">
        <v>380</v>
      </c>
      <c r="M1025" s="93">
        <v>9175.9</v>
      </c>
      <c r="N1025" s="93">
        <v>100</v>
      </c>
      <c r="O1025" s="103">
        <v>91759</v>
      </c>
      <c r="P1025" s="116"/>
      <c r="Q1025" s="71"/>
      <c r="R1025" s="66"/>
      <c r="S1025" s="66" t="s">
        <v>423</v>
      </c>
      <c r="T1025" s="66"/>
      <c r="U1025" s="78"/>
      <c r="V1025" s="78"/>
      <c r="W1025" s="78"/>
      <c r="X1025" s="78"/>
      <c r="Y1025" s="78"/>
      <c r="Z1025" s="78"/>
      <c r="AA1025" s="78"/>
      <c r="AB1025" s="78"/>
      <c r="AC1025" s="92"/>
      <c r="AD1025" s="92"/>
      <c r="AE1025" s="32"/>
    </row>
    <row r="1026" spans="2:33">
      <c r="B1026" s="63">
        <v>347</v>
      </c>
      <c r="C1026" s="64" t="s">
        <v>2619</v>
      </c>
      <c r="D1026" s="64" t="s">
        <v>2620</v>
      </c>
      <c r="E1026" s="64"/>
      <c r="F1026" s="66">
        <v>352</v>
      </c>
      <c r="G1026" s="67">
        <v>10352000</v>
      </c>
      <c r="H1026" s="278"/>
      <c r="I1026" s="66" t="s">
        <v>552</v>
      </c>
      <c r="J1026" s="66" t="s">
        <v>2621</v>
      </c>
      <c r="K1026" s="66" t="s">
        <v>552</v>
      </c>
      <c r="L1026" s="66" t="s">
        <v>233</v>
      </c>
      <c r="M1026" s="93">
        <v>7207.3</v>
      </c>
      <c r="N1026" s="93">
        <v>100</v>
      </c>
      <c r="O1026" s="94">
        <v>72073</v>
      </c>
      <c r="P1026" s="114"/>
      <c r="Q1026" s="71"/>
      <c r="R1026" s="94"/>
      <c r="S1026" s="94" t="s">
        <v>553</v>
      </c>
      <c r="T1026" s="94" t="s">
        <v>2622</v>
      </c>
      <c r="U1026" s="78"/>
      <c r="V1026" s="78"/>
      <c r="W1026" s="78"/>
      <c r="X1026" s="78"/>
      <c r="Y1026" s="78"/>
      <c r="Z1026" s="78"/>
      <c r="AA1026" s="78"/>
      <c r="AB1026" s="78"/>
      <c r="AC1026" s="92"/>
      <c r="AD1026" s="92"/>
      <c r="AE1026" s="32"/>
    </row>
    <row r="1027" spans="2:33">
      <c r="B1027" s="111"/>
      <c r="C1027" s="32"/>
      <c r="D1027" s="32"/>
      <c r="E1027" s="32"/>
      <c r="F1027" s="32"/>
      <c r="G1027" s="32"/>
      <c r="H1027" s="196"/>
      <c r="I1027" s="32"/>
      <c r="J1027" s="32"/>
      <c r="K1027" s="32"/>
      <c r="L1027" s="32"/>
      <c r="M1027" s="190"/>
      <c r="N1027" s="32"/>
      <c r="O1027" s="32"/>
      <c r="P1027" s="17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</row>
    <row r="1028" spans="2:33">
      <c r="B1028" s="111"/>
      <c r="C1028" s="32" t="s">
        <v>2623</v>
      </c>
      <c r="D1028" s="32"/>
      <c r="E1028" s="32"/>
      <c r="F1028" s="32"/>
      <c r="G1028" s="32"/>
      <c r="H1028" s="196"/>
      <c r="I1028" s="32"/>
      <c r="J1028" s="32"/>
      <c r="K1028" s="32"/>
      <c r="L1028" s="32"/>
      <c r="M1028" s="190"/>
      <c r="N1028" s="32"/>
      <c r="O1028" s="32"/>
      <c r="P1028" s="17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</row>
    <row r="1029" spans="2:33">
      <c r="B1029" s="63">
        <v>348</v>
      </c>
      <c r="C1029" s="64" t="s">
        <v>2624</v>
      </c>
      <c r="D1029" s="64" t="s">
        <v>2625</v>
      </c>
      <c r="E1029" s="64"/>
      <c r="F1029" s="66">
        <v>397</v>
      </c>
      <c r="G1029" s="67">
        <f>10000000+F1029*1000</f>
        <v>10397000</v>
      </c>
      <c r="H1029" s="278"/>
      <c r="I1029" s="66" t="s">
        <v>232</v>
      </c>
      <c r="J1029" s="66" t="s">
        <v>2626</v>
      </c>
      <c r="K1029" s="66" t="s">
        <v>232</v>
      </c>
      <c r="L1029" s="66" t="s">
        <v>233</v>
      </c>
      <c r="M1029" s="93">
        <f>O1029*N1029/1000</f>
        <v>31187.200000000001</v>
      </c>
      <c r="N1029" s="93">
        <v>100</v>
      </c>
      <c r="O1029" s="94">
        <v>311872</v>
      </c>
      <c r="P1029" s="70"/>
      <c r="Q1029" s="71"/>
      <c r="R1029" s="94"/>
      <c r="S1029" s="94" t="s">
        <v>292</v>
      </c>
      <c r="T1029" s="94" t="s">
        <v>2627</v>
      </c>
      <c r="U1029" s="78">
        <v>56700</v>
      </c>
      <c r="V1029" s="78"/>
      <c r="W1029" s="78"/>
      <c r="X1029" s="78"/>
      <c r="Y1029" s="78"/>
      <c r="Z1029" s="78"/>
      <c r="AA1029" s="78"/>
      <c r="AB1029" s="78"/>
      <c r="AC1029" s="95"/>
      <c r="AD1029" s="96"/>
      <c r="AE1029" s="92"/>
      <c r="AF1029" s="92"/>
      <c r="AG1029" s="32"/>
    </row>
    <row r="1030" spans="2:33">
      <c r="B1030" s="111"/>
      <c r="C1030" s="32"/>
      <c r="D1030" s="32"/>
      <c r="E1030" s="32"/>
      <c r="F1030" s="32"/>
      <c r="G1030" s="32"/>
      <c r="H1030" s="196"/>
      <c r="I1030" s="32"/>
      <c r="J1030" s="32"/>
      <c r="K1030" s="32"/>
      <c r="L1030" s="32"/>
      <c r="M1030" s="190"/>
      <c r="N1030" s="32"/>
      <c r="O1030" s="32"/>
      <c r="P1030" s="17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</row>
    <row r="1031" spans="2:33">
      <c r="B1031" s="111"/>
      <c r="C1031" s="32"/>
      <c r="D1031" s="32"/>
      <c r="E1031" s="32"/>
      <c r="F1031" s="32"/>
      <c r="G1031" s="32"/>
      <c r="H1031" s="196"/>
      <c r="I1031" s="32"/>
      <c r="J1031" s="32"/>
      <c r="K1031" s="32"/>
      <c r="L1031" s="32"/>
      <c r="M1031" s="190"/>
      <c r="N1031" s="32"/>
      <c r="O1031" s="32"/>
      <c r="P1031" s="17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</row>
    <row r="1032" spans="2:33">
      <c r="B1032" s="111"/>
      <c r="C1032" s="32"/>
      <c r="D1032" s="32"/>
      <c r="E1032" s="32"/>
      <c r="F1032" s="32"/>
      <c r="G1032" s="32"/>
      <c r="H1032" s="196"/>
      <c r="I1032" s="32"/>
      <c r="J1032" s="32"/>
      <c r="K1032" s="32"/>
      <c r="L1032" s="32"/>
      <c r="M1032" s="190"/>
      <c r="N1032" s="32"/>
      <c r="O1032" s="32"/>
      <c r="P1032" s="17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</row>
    <row r="1033" spans="2:33">
      <c r="B1033" s="111"/>
      <c r="C1033" s="32"/>
      <c r="D1033" s="32"/>
      <c r="E1033" s="32"/>
      <c r="F1033" s="32"/>
      <c r="G1033" s="32"/>
      <c r="H1033" s="196"/>
      <c r="I1033" s="32"/>
      <c r="J1033" s="32"/>
      <c r="K1033" s="32"/>
      <c r="L1033" s="32"/>
      <c r="M1033" s="190"/>
      <c r="N1033" s="32"/>
      <c r="O1033" s="32"/>
      <c r="P1033" s="17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</row>
    <row r="1034" spans="2:33">
      <c r="B1034" s="111"/>
      <c r="C1034" s="32"/>
      <c r="D1034" s="32"/>
      <c r="E1034" s="32"/>
      <c r="F1034" s="32"/>
      <c r="G1034" s="32"/>
      <c r="H1034" s="196"/>
      <c r="I1034" s="32"/>
      <c r="J1034" s="32"/>
      <c r="K1034" s="32"/>
      <c r="L1034" s="32"/>
      <c r="M1034" s="190"/>
      <c r="N1034" s="32"/>
      <c r="O1034" s="32"/>
      <c r="P1034" s="17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</row>
    <row r="1035" spans="2:33">
      <c r="B1035" s="111"/>
      <c r="C1035" s="32"/>
      <c r="D1035" s="32"/>
      <c r="E1035" s="32"/>
      <c r="F1035" s="32"/>
      <c r="G1035" s="32"/>
      <c r="H1035" s="196"/>
      <c r="I1035" s="32"/>
      <c r="J1035" s="32"/>
      <c r="K1035" s="32"/>
      <c r="L1035" s="32"/>
      <c r="M1035" s="190"/>
      <c r="N1035" s="32"/>
      <c r="O1035" s="32"/>
      <c r="P1035" s="17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</row>
    <row r="1036" spans="2:33">
      <c r="B1036" s="111"/>
      <c r="C1036" s="32"/>
      <c r="D1036" s="32"/>
      <c r="E1036" s="32"/>
      <c r="F1036" s="32"/>
      <c r="G1036" s="32"/>
      <c r="H1036" s="196"/>
      <c r="I1036" s="32"/>
      <c r="J1036" s="32"/>
      <c r="K1036" s="32"/>
      <c r="L1036" s="32"/>
      <c r="M1036" s="190"/>
      <c r="N1036" s="32"/>
      <c r="O1036" s="32"/>
      <c r="P1036" s="17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</row>
    <row r="1037" spans="2:33">
      <c r="B1037" s="111"/>
      <c r="C1037" s="32"/>
      <c r="D1037" s="32"/>
      <c r="E1037" s="32"/>
      <c r="F1037" s="32"/>
      <c r="G1037" s="32"/>
      <c r="H1037" s="196"/>
      <c r="I1037" s="32"/>
      <c r="J1037" s="32"/>
      <c r="K1037" s="32"/>
      <c r="L1037" s="32"/>
      <c r="M1037" s="190"/>
      <c r="N1037" s="32"/>
      <c r="O1037" s="32"/>
      <c r="P1037" s="17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</row>
    <row r="1038" spans="2:33">
      <c r="B1038" s="111"/>
      <c r="C1038" s="32"/>
      <c r="D1038" s="32"/>
      <c r="E1038" s="32"/>
      <c r="F1038" s="32"/>
      <c r="G1038" s="32"/>
      <c r="H1038" s="196"/>
      <c r="I1038" s="32"/>
      <c r="J1038" s="32"/>
      <c r="K1038" s="32"/>
      <c r="L1038" s="32"/>
      <c r="M1038" s="190"/>
      <c r="N1038" s="32"/>
      <c r="O1038" s="32"/>
      <c r="P1038" s="17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</row>
    <row r="1039" spans="2:33">
      <c r="B1039" s="111"/>
      <c r="C1039" s="32"/>
      <c r="D1039" s="32"/>
      <c r="E1039" s="32"/>
      <c r="F1039" s="32"/>
      <c r="G1039" s="32"/>
      <c r="H1039" s="196"/>
      <c r="I1039" s="32"/>
      <c r="J1039" s="32"/>
      <c r="K1039" s="32"/>
      <c r="L1039" s="32"/>
      <c r="M1039" s="190"/>
      <c r="N1039" s="32"/>
      <c r="O1039" s="32"/>
      <c r="P1039" s="17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</row>
    <row r="1040" spans="2:33">
      <c r="B1040" s="111"/>
      <c r="C1040" s="32"/>
      <c r="D1040" s="32"/>
      <c r="E1040" s="32"/>
      <c r="F1040" s="32"/>
      <c r="G1040" s="32"/>
      <c r="H1040" s="196"/>
      <c r="I1040" s="32"/>
      <c r="J1040" s="32"/>
      <c r="K1040" s="32"/>
      <c r="L1040" s="32"/>
      <c r="M1040" s="190"/>
      <c r="N1040" s="32"/>
      <c r="O1040" s="32"/>
      <c r="P1040" s="17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</row>
    <row r="1041" spans="2:33">
      <c r="B1041" s="111"/>
      <c r="C1041" s="32"/>
      <c r="D1041" s="32"/>
      <c r="E1041" s="32"/>
      <c r="F1041" s="32"/>
      <c r="G1041" s="32"/>
      <c r="H1041" s="196"/>
      <c r="I1041" s="32"/>
      <c r="J1041" s="32"/>
      <c r="K1041" s="32"/>
      <c r="L1041" s="32"/>
      <c r="M1041" s="190"/>
      <c r="N1041" s="32"/>
      <c r="O1041" s="32"/>
      <c r="P1041" s="17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</row>
    <row r="1042" spans="2:33">
      <c r="B1042" s="111"/>
      <c r="C1042" s="32"/>
      <c r="D1042" s="32"/>
      <c r="E1042" s="32"/>
      <c r="F1042" s="32"/>
      <c r="G1042" s="32"/>
      <c r="H1042" s="196"/>
      <c r="I1042" s="32"/>
      <c r="J1042" s="32"/>
      <c r="K1042" s="32"/>
      <c r="L1042" s="32"/>
      <c r="M1042" s="190"/>
      <c r="N1042" s="32"/>
      <c r="O1042" s="32"/>
      <c r="P1042" s="17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</row>
    <row r="1043" spans="2:33">
      <c r="B1043" s="111"/>
      <c r="C1043" s="32"/>
      <c r="D1043" s="32"/>
      <c r="E1043" s="32"/>
      <c r="F1043" s="32"/>
      <c r="G1043" s="32"/>
      <c r="H1043" s="196"/>
      <c r="I1043" s="32"/>
      <c r="J1043" s="32"/>
      <c r="K1043" s="32"/>
      <c r="L1043" s="32"/>
      <c r="M1043" s="190"/>
      <c r="N1043" s="32"/>
      <c r="O1043" s="32"/>
      <c r="P1043" s="17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</row>
    <row r="1044" spans="2:33">
      <c r="B1044" s="111"/>
      <c r="C1044" s="32"/>
      <c r="D1044" s="32"/>
      <c r="E1044" s="32"/>
      <c r="F1044" s="32"/>
      <c r="G1044" s="32"/>
      <c r="H1044" s="196"/>
      <c r="I1044" s="32"/>
      <c r="J1044" s="32"/>
      <c r="K1044" s="32"/>
      <c r="L1044" s="32"/>
      <c r="M1044" s="190"/>
      <c r="N1044" s="32"/>
      <c r="O1044" s="32"/>
      <c r="P1044" s="17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</row>
    <row r="1045" spans="2:33">
      <c r="B1045" s="111"/>
      <c r="C1045" s="32"/>
      <c r="D1045" s="32"/>
      <c r="E1045" s="32"/>
      <c r="F1045" s="32"/>
      <c r="G1045" s="32"/>
      <c r="H1045" s="196"/>
      <c r="I1045" s="32"/>
      <c r="J1045" s="32"/>
      <c r="K1045" s="32"/>
      <c r="L1045" s="32"/>
      <c r="M1045" s="190"/>
      <c r="N1045" s="32"/>
      <c r="O1045" s="32"/>
      <c r="P1045" s="17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</row>
    <row r="1046" spans="2:33">
      <c r="B1046" s="111"/>
      <c r="C1046" s="32"/>
      <c r="D1046" s="32"/>
      <c r="E1046" s="32"/>
      <c r="F1046" s="32"/>
      <c r="G1046" s="32"/>
      <c r="H1046" s="196"/>
      <c r="I1046" s="32"/>
      <c r="J1046" s="32"/>
      <c r="K1046" s="32"/>
      <c r="L1046" s="32"/>
      <c r="M1046" s="190"/>
      <c r="N1046" s="32"/>
      <c r="O1046" s="32"/>
      <c r="P1046" s="17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</row>
    <row r="1047" spans="2:33">
      <c r="B1047" s="111"/>
      <c r="C1047" s="32"/>
      <c r="D1047" s="32"/>
      <c r="E1047" s="32"/>
      <c r="F1047" s="32"/>
      <c r="G1047" s="32"/>
      <c r="H1047" s="196"/>
      <c r="I1047" s="32"/>
      <c r="J1047" s="32"/>
      <c r="K1047" s="32"/>
      <c r="L1047" s="32"/>
      <c r="M1047" s="190"/>
      <c r="N1047" s="32"/>
      <c r="O1047" s="32"/>
      <c r="P1047" s="17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</row>
    <row r="1048" spans="2:33">
      <c r="B1048" s="111"/>
      <c r="C1048" s="32"/>
      <c r="D1048" s="32"/>
      <c r="E1048" s="32"/>
      <c r="F1048" s="32"/>
      <c r="G1048" s="32"/>
      <c r="H1048" s="196"/>
      <c r="I1048" s="32"/>
      <c r="J1048" s="32"/>
      <c r="K1048" s="32"/>
      <c r="L1048" s="32"/>
      <c r="M1048" s="190"/>
      <c r="N1048" s="32"/>
      <c r="O1048" s="32"/>
      <c r="P1048" s="17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</row>
    <row r="1049" spans="2:33">
      <c r="B1049" s="111"/>
      <c r="C1049" s="32"/>
      <c r="D1049" s="32"/>
      <c r="E1049" s="32"/>
      <c r="F1049" s="32"/>
      <c r="G1049" s="32"/>
      <c r="H1049" s="196"/>
      <c r="I1049" s="32"/>
      <c r="J1049" s="32"/>
      <c r="K1049" s="32"/>
      <c r="L1049" s="32"/>
      <c r="M1049" s="190"/>
      <c r="N1049" s="32"/>
      <c r="O1049" s="32"/>
      <c r="P1049" s="17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</row>
    <row r="1050" spans="2:33">
      <c r="B1050" s="111"/>
      <c r="C1050" s="32"/>
      <c r="D1050" s="32"/>
      <c r="E1050" s="32"/>
      <c r="F1050" s="32"/>
      <c r="G1050" s="32"/>
      <c r="H1050" s="196"/>
      <c r="I1050" s="32"/>
      <c r="J1050" s="32"/>
      <c r="K1050" s="32"/>
      <c r="L1050" s="32"/>
      <c r="M1050" s="190"/>
      <c r="N1050" s="32"/>
      <c r="O1050" s="32"/>
      <c r="P1050" s="17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</row>
    <row r="1051" spans="2:33">
      <c r="B1051" s="111"/>
      <c r="C1051" s="32"/>
      <c r="D1051" s="32"/>
      <c r="E1051" s="32"/>
      <c r="F1051" s="32"/>
      <c r="G1051" s="32"/>
      <c r="H1051" s="196"/>
      <c r="I1051" s="32"/>
      <c r="J1051" s="32"/>
      <c r="K1051" s="32"/>
      <c r="L1051" s="32"/>
      <c r="M1051" s="190"/>
      <c r="N1051" s="32"/>
      <c r="O1051" s="32"/>
      <c r="P1051" s="17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</row>
    <row r="1052" spans="2:33">
      <c r="B1052" s="111"/>
      <c r="C1052" s="32"/>
      <c r="D1052" s="32"/>
      <c r="E1052" s="32"/>
      <c r="F1052" s="32"/>
      <c r="G1052" s="32"/>
      <c r="H1052" s="196"/>
      <c r="I1052" s="32"/>
      <c r="J1052" s="32"/>
      <c r="K1052" s="32"/>
      <c r="L1052" s="32"/>
      <c r="M1052" s="190"/>
      <c r="N1052" s="32"/>
      <c r="O1052" s="32"/>
      <c r="P1052" s="17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</row>
    <row r="1053" spans="2:33">
      <c r="B1053" s="111"/>
      <c r="C1053" s="32"/>
      <c r="D1053" s="32"/>
      <c r="E1053" s="32"/>
      <c r="F1053" s="32"/>
      <c r="G1053" s="32"/>
      <c r="H1053" s="196"/>
      <c r="I1053" s="32"/>
      <c r="J1053" s="32"/>
      <c r="K1053" s="32"/>
      <c r="L1053" s="32"/>
      <c r="M1053" s="190"/>
      <c r="N1053" s="32"/>
      <c r="O1053" s="32"/>
      <c r="P1053" s="17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</row>
    <row r="1054" spans="2:33">
      <c r="B1054" s="111"/>
      <c r="C1054" s="32"/>
      <c r="D1054" s="32"/>
      <c r="E1054" s="32"/>
      <c r="F1054" s="32"/>
      <c r="G1054" s="32"/>
      <c r="H1054" s="196"/>
      <c r="I1054" s="32"/>
      <c r="J1054" s="32"/>
      <c r="K1054" s="32"/>
      <c r="L1054" s="32"/>
      <c r="M1054" s="190"/>
      <c r="N1054" s="32"/>
      <c r="O1054" s="32"/>
      <c r="P1054" s="17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</row>
    <row r="1055" spans="2:33">
      <c r="B1055" s="111"/>
      <c r="C1055" s="32"/>
      <c r="D1055" s="32"/>
      <c r="E1055" s="32"/>
      <c r="F1055" s="32"/>
      <c r="G1055" s="32"/>
      <c r="H1055" s="196"/>
      <c r="I1055" s="32"/>
      <c r="J1055" s="32"/>
      <c r="K1055" s="32"/>
      <c r="L1055" s="32"/>
      <c r="M1055" s="190"/>
      <c r="N1055" s="32"/>
      <c r="O1055" s="32"/>
      <c r="P1055" s="17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</row>
    <row r="1056" spans="2:33">
      <c r="B1056" s="111"/>
      <c r="C1056" s="32"/>
      <c r="D1056" s="32"/>
      <c r="E1056" s="32"/>
      <c r="F1056" s="32"/>
      <c r="G1056" s="32"/>
      <c r="H1056" s="196"/>
      <c r="I1056" s="32"/>
      <c r="J1056" s="32"/>
      <c r="K1056" s="32"/>
      <c r="L1056" s="32"/>
      <c r="M1056" s="190"/>
      <c r="N1056" s="32"/>
      <c r="O1056" s="32"/>
      <c r="P1056" s="17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</row>
    <row r="1057" spans="2:33">
      <c r="B1057" s="111"/>
      <c r="C1057" s="32"/>
      <c r="D1057" s="32"/>
      <c r="E1057" s="32"/>
      <c r="F1057" s="32"/>
      <c r="G1057" s="32"/>
      <c r="H1057" s="196"/>
      <c r="I1057" s="32"/>
      <c r="J1057" s="32"/>
      <c r="K1057" s="32"/>
      <c r="L1057" s="32"/>
      <c r="M1057" s="190"/>
      <c r="N1057" s="32"/>
      <c r="O1057" s="32"/>
      <c r="P1057" s="17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</row>
    <row r="1058" spans="2:33">
      <c r="B1058" s="111"/>
      <c r="C1058" s="32"/>
      <c r="D1058" s="32"/>
      <c r="E1058" s="32"/>
      <c r="F1058" s="32"/>
      <c r="G1058" s="32"/>
      <c r="H1058" s="196"/>
      <c r="I1058" s="32"/>
      <c r="J1058" s="32"/>
      <c r="K1058" s="32"/>
      <c r="L1058" s="32"/>
      <c r="M1058" s="190"/>
      <c r="N1058" s="32"/>
      <c r="O1058" s="32"/>
      <c r="P1058" s="17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</row>
    <row r="1059" spans="2:33">
      <c r="B1059" s="111"/>
      <c r="C1059" s="32"/>
      <c r="D1059" s="32"/>
      <c r="E1059" s="32"/>
      <c r="F1059" s="32"/>
      <c r="G1059" s="32"/>
      <c r="H1059" s="196"/>
      <c r="I1059" s="32"/>
      <c r="J1059" s="32"/>
      <c r="K1059" s="32"/>
      <c r="L1059" s="32"/>
      <c r="M1059" s="190"/>
      <c r="N1059" s="32"/>
      <c r="O1059" s="32"/>
      <c r="P1059" s="17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</row>
    <row r="1060" spans="2:33">
      <c r="B1060" s="111"/>
      <c r="C1060" s="32"/>
      <c r="D1060" s="32"/>
      <c r="E1060" s="32"/>
      <c r="F1060" s="32"/>
      <c r="G1060" s="32"/>
      <c r="H1060" s="196"/>
      <c r="I1060" s="32"/>
      <c r="J1060" s="32"/>
      <c r="K1060" s="32"/>
      <c r="L1060" s="32"/>
      <c r="M1060" s="190"/>
      <c r="N1060" s="32"/>
      <c r="O1060" s="32"/>
      <c r="P1060" s="17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</row>
    <row r="1061" spans="2:33">
      <c r="B1061" s="111"/>
      <c r="C1061" s="32"/>
      <c r="D1061" s="32"/>
      <c r="E1061" s="32"/>
      <c r="F1061" s="32"/>
      <c r="G1061" s="32"/>
      <c r="H1061" s="196"/>
      <c r="I1061" s="32"/>
      <c r="J1061" s="32"/>
      <c r="K1061" s="32"/>
      <c r="L1061" s="32"/>
      <c r="M1061" s="190"/>
      <c r="N1061" s="32"/>
      <c r="O1061" s="32"/>
      <c r="P1061" s="17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</row>
    <row r="1062" spans="2:33">
      <c r="B1062" s="111"/>
      <c r="C1062" s="32"/>
      <c r="D1062" s="32"/>
      <c r="E1062" s="32"/>
      <c r="F1062" s="32"/>
      <c r="G1062" s="32"/>
      <c r="H1062" s="196"/>
      <c r="I1062" s="32"/>
      <c r="J1062" s="32"/>
      <c r="K1062" s="32"/>
      <c r="L1062" s="32"/>
      <c r="M1062" s="190"/>
      <c r="N1062" s="32"/>
      <c r="O1062" s="32"/>
      <c r="P1062" s="17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</row>
    <row r="1063" spans="2:33">
      <c r="B1063" s="111"/>
      <c r="C1063" s="32"/>
      <c r="D1063" s="32"/>
      <c r="E1063" s="32"/>
      <c r="F1063" s="32"/>
      <c r="G1063" s="32"/>
      <c r="H1063" s="196"/>
      <c r="I1063" s="32"/>
      <c r="J1063" s="32"/>
      <c r="K1063" s="32"/>
      <c r="L1063" s="32"/>
      <c r="M1063" s="190"/>
      <c r="N1063" s="32"/>
      <c r="O1063" s="32"/>
      <c r="P1063" s="17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</row>
    <row r="1064" spans="2:33">
      <c r="B1064" s="111"/>
      <c r="C1064" s="32"/>
      <c r="D1064" s="32"/>
      <c r="E1064" s="32"/>
      <c r="F1064" s="32"/>
      <c r="G1064" s="32"/>
      <c r="H1064" s="196"/>
      <c r="I1064" s="32"/>
      <c r="J1064" s="32"/>
      <c r="K1064" s="32"/>
      <c r="L1064" s="32"/>
      <c r="M1064" s="190"/>
      <c r="N1064" s="32"/>
      <c r="O1064" s="32"/>
      <c r="P1064" s="17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</row>
    <row r="1065" spans="2:33">
      <c r="B1065" s="111"/>
      <c r="C1065" s="32"/>
      <c r="D1065" s="32"/>
      <c r="E1065" s="32"/>
      <c r="F1065" s="32"/>
      <c r="G1065" s="32"/>
      <c r="H1065" s="196"/>
      <c r="I1065" s="32"/>
      <c r="J1065" s="32"/>
      <c r="K1065" s="32"/>
      <c r="L1065" s="32"/>
      <c r="M1065" s="190"/>
      <c r="N1065" s="32"/>
      <c r="O1065" s="32"/>
      <c r="P1065" s="17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</row>
    <row r="1066" spans="2:33">
      <c r="B1066" s="111"/>
      <c r="C1066" s="32"/>
      <c r="D1066" s="32"/>
      <c r="E1066" s="32"/>
      <c r="F1066" s="32"/>
      <c r="G1066" s="32"/>
      <c r="H1066" s="196"/>
      <c r="I1066" s="32"/>
      <c r="J1066" s="32"/>
      <c r="K1066" s="32"/>
      <c r="L1066" s="32"/>
      <c r="M1066" s="190"/>
      <c r="N1066" s="32"/>
      <c r="O1066" s="32"/>
      <c r="P1066" s="17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</row>
    <row r="1067" spans="2:33">
      <c r="B1067" s="111"/>
      <c r="C1067" s="32"/>
      <c r="D1067" s="32"/>
      <c r="E1067" s="32"/>
      <c r="F1067" s="32"/>
      <c r="G1067" s="32"/>
      <c r="H1067" s="196"/>
      <c r="I1067" s="32"/>
      <c r="J1067" s="32"/>
      <c r="K1067" s="32"/>
      <c r="L1067" s="32"/>
      <c r="M1067" s="190"/>
      <c r="N1067" s="32"/>
      <c r="O1067" s="32"/>
      <c r="P1067" s="17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</row>
    <row r="1068" spans="2:33">
      <c r="B1068" s="111"/>
      <c r="C1068" s="32"/>
      <c r="D1068" s="32"/>
      <c r="E1068" s="32"/>
      <c r="F1068" s="32"/>
      <c r="G1068" s="32"/>
      <c r="H1068" s="196"/>
      <c r="I1068" s="32"/>
      <c r="J1068" s="32"/>
      <c r="K1068" s="32"/>
      <c r="L1068" s="32"/>
      <c r="M1068" s="190"/>
      <c r="N1068" s="32"/>
      <c r="O1068" s="32"/>
      <c r="P1068" s="17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</row>
    <row r="1069" spans="2:33">
      <c r="B1069" s="111"/>
      <c r="C1069" s="32"/>
      <c r="D1069" s="32"/>
      <c r="E1069" s="32"/>
      <c r="F1069" s="32"/>
      <c r="G1069" s="32"/>
      <c r="H1069" s="196"/>
      <c r="I1069" s="32"/>
      <c r="J1069" s="32"/>
      <c r="K1069" s="32"/>
      <c r="L1069" s="32"/>
      <c r="M1069" s="190"/>
      <c r="N1069" s="32"/>
      <c r="O1069" s="32"/>
      <c r="P1069" s="17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</row>
    <row r="1070" spans="2:33">
      <c r="B1070" s="111"/>
      <c r="C1070" s="32"/>
      <c r="D1070" s="32"/>
      <c r="E1070" s="32"/>
      <c r="F1070" s="32"/>
      <c r="G1070" s="32"/>
      <c r="H1070" s="196"/>
      <c r="I1070" s="32"/>
      <c r="J1070" s="32"/>
      <c r="K1070" s="32"/>
      <c r="L1070" s="32"/>
      <c r="M1070" s="190"/>
      <c r="N1070" s="32"/>
      <c r="O1070" s="32"/>
      <c r="P1070" s="17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</row>
    <row r="1071" spans="2:33">
      <c r="B1071" s="111"/>
      <c r="C1071" s="32"/>
      <c r="D1071" s="32"/>
      <c r="E1071" s="32"/>
      <c r="F1071" s="32"/>
      <c r="G1071" s="32"/>
      <c r="H1071" s="196"/>
      <c r="I1071" s="32"/>
      <c r="J1071" s="32"/>
      <c r="K1071" s="32"/>
      <c r="L1071" s="32"/>
      <c r="M1071" s="190"/>
      <c r="N1071" s="32"/>
      <c r="O1071" s="32"/>
      <c r="P1071" s="17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</row>
    <row r="1072" spans="2:33">
      <c r="B1072" s="111"/>
      <c r="C1072" s="32"/>
      <c r="D1072" s="32"/>
      <c r="E1072" s="32"/>
      <c r="F1072" s="32"/>
      <c r="G1072" s="32"/>
      <c r="H1072" s="196"/>
      <c r="I1072" s="32"/>
      <c r="J1072" s="32"/>
      <c r="K1072" s="32"/>
      <c r="L1072" s="32"/>
      <c r="M1072" s="190"/>
      <c r="N1072" s="32"/>
      <c r="O1072" s="32"/>
      <c r="P1072" s="17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</row>
    <row r="1073" spans="2:33">
      <c r="B1073" s="111"/>
      <c r="C1073" s="32"/>
      <c r="D1073" s="32"/>
      <c r="E1073" s="32"/>
      <c r="F1073" s="32"/>
      <c r="G1073" s="32"/>
      <c r="H1073" s="196"/>
      <c r="I1073" s="32"/>
      <c r="J1073" s="32"/>
      <c r="K1073" s="32"/>
      <c r="L1073" s="32"/>
      <c r="M1073" s="190"/>
      <c r="N1073" s="32"/>
      <c r="O1073" s="32"/>
      <c r="P1073" s="17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</row>
    <row r="1074" spans="2:33">
      <c r="B1074" s="111"/>
      <c r="C1074" s="32"/>
      <c r="D1074" s="32"/>
      <c r="E1074" s="32"/>
      <c r="F1074" s="32"/>
      <c r="G1074" s="32"/>
      <c r="H1074" s="196"/>
      <c r="I1074" s="32"/>
      <c r="J1074" s="32"/>
      <c r="K1074" s="32"/>
      <c r="L1074" s="32"/>
      <c r="M1074" s="190"/>
      <c r="N1074" s="32"/>
      <c r="O1074" s="32"/>
      <c r="P1074" s="17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</row>
    <row r="1075" spans="2:33">
      <c r="B1075" s="111"/>
      <c r="C1075" s="32"/>
      <c r="D1075" s="32"/>
      <c r="E1075" s="32"/>
      <c r="F1075" s="32"/>
      <c r="G1075" s="32"/>
      <c r="H1075" s="196"/>
      <c r="I1075" s="32"/>
      <c r="J1075" s="32"/>
      <c r="K1075" s="32"/>
      <c r="L1075" s="32"/>
      <c r="M1075" s="190"/>
      <c r="N1075" s="32"/>
      <c r="O1075" s="32"/>
      <c r="P1075" s="17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</row>
    <row r="1076" spans="2:33">
      <c r="B1076" s="111"/>
      <c r="C1076" s="32"/>
      <c r="D1076" s="32"/>
      <c r="E1076" s="32"/>
      <c r="F1076" s="32"/>
      <c r="G1076" s="32"/>
      <c r="H1076" s="196"/>
      <c r="I1076" s="32"/>
      <c r="J1076" s="32"/>
      <c r="K1076" s="32"/>
      <c r="L1076" s="32"/>
      <c r="M1076" s="190"/>
      <c r="N1076" s="32"/>
      <c r="O1076" s="32"/>
      <c r="P1076" s="17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</row>
    <row r="1077" spans="2:33">
      <c r="B1077" s="111"/>
      <c r="C1077" s="32"/>
      <c r="D1077" s="32"/>
      <c r="E1077" s="32"/>
      <c r="F1077" s="32"/>
      <c r="G1077" s="32"/>
      <c r="H1077" s="196"/>
      <c r="I1077" s="32"/>
      <c r="J1077" s="32"/>
      <c r="K1077" s="32"/>
      <c r="L1077" s="32"/>
      <c r="M1077" s="190"/>
      <c r="N1077" s="32"/>
      <c r="O1077" s="32"/>
      <c r="P1077" s="17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</row>
    <row r="1078" spans="2:33">
      <c r="B1078" s="111"/>
      <c r="C1078" s="32"/>
      <c r="D1078" s="32"/>
      <c r="E1078" s="32"/>
      <c r="F1078" s="32"/>
      <c r="G1078" s="32"/>
      <c r="H1078" s="196"/>
      <c r="I1078" s="32"/>
      <c r="J1078" s="32"/>
      <c r="K1078" s="32"/>
      <c r="L1078" s="32"/>
      <c r="M1078" s="190"/>
      <c r="N1078" s="32"/>
      <c r="O1078" s="32"/>
      <c r="P1078" s="17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</row>
    <row r="1079" spans="2:33">
      <c r="B1079" s="111"/>
      <c r="C1079" s="32"/>
      <c r="D1079" s="32"/>
      <c r="E1079" s="32"/>
      <c r="F1079" s="32"/>
      <c r="G1079" s="32"/>
      <c r="H1079" s="196"/>
      <c r="I1079" s="32"/>
      <c r="J1079" s="32"/>
      <c r="K1079" s="32"/>
      <c r="L1079" s="32"/>
      <c r="M1079" s="190"/>
      <c r="N1079" s="32"/>
      <c r="O1079" s="32"/>
      <c r="P1079" s="17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</row>
    <row r="1080" spans="2:33">
      <c r="B1080" s="111"/>
      <c r="C1080" s="32"/>
      <c r="D1080" s="32"/>
      <c r="E1080" s="32"/>
      <c r="F1080" s="32"/>
      <c r="G1080" s="32"/>
      <c r="H1080" s="196"/>
      <c r="I1080" s="32"/>
      <c r="J1080" s="32"/>
      <c r="K1080" s="32"/>
      <c r="L1080" s="32"/>
      <c r="M1080" s="190"/>
      <c r="N1080" s="32"/>
      <c r="O1080" s="32"/>
      <c r="P1080" s="17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</row>
    <row r="1081" spans="2:33">
      <c r="B1081" s="111"/>
      <c r="C1081" s="32"/>
      <c r="D1081" s="32"/>
      <c r="E1081" s="32"/>
      <c r="F1081" s="32"/>
      <c r="G1081" s="32"/>
      <c r="H1081" s="196"/>
      <c r="I1081" s="32"/>
      <c r="J1081" s="32"/>
      <c r="K1081" s="32"/>
      <c r="L1081" s="32"/>
      <c r="M1081" s="190"/>
      <c r="N1081" s="32"/>
      <c r="O1081" s="32"/>
      <c r="P1081" s="17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</row>
    <row r="1082" spans="2:33">
      <c r="B1082" s="111"/>
      <c r="C1082" s="32"/>
      <c r="D1082" s="32"/>
      <c r="E1082" s="32"/>
      <c r="F1082" s="32"/>
      <c r="G1082" s="32"/>
      <c r="H1082" s="196"/>
      <c r="I1082" s="32"/>
      <c r="J1082" s="32"/>
      <c r="K1082" s="32"/>
      <c r="L1082" s="32"/>
      <c r="M1082" s="190"/>
      <c r="N1082" s="32"/>
      <c r="O1082" s="32"/>
      <c r="P1082" s="17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</row>
    <row r="1083" spans="2:33">
      <c r="B1083" s="111"/>
      <c r="C1083" s="32"/>
      <c r="D1083" s="32"/>
      <c r="E1083" s="32"/>
      <c r="F1083" s="32"/>
      <c r="G1083" s="32"/>
      <c r="H1083" s="196"/>
      <c r="I1083" s="32"/>
      <c r="J1083" s="32"/>
      <c r="K1083" s="32"/>
      <c r="L1083" s="32"/>
      <c r="M1083" s="190"/>
      <c r="N1083" s="32"/>
      <c r="O1083" s="32"/>
      <c r="P1083" s="17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</row>
    <row r="1084" spans="2:33">
      <c r="B1084" s="111"/>
      <c r="C1084" s="32"/>
      <c r="D1084" s="32"/>
      <c r="E1084" s="32"/>
      <c r="F1084" s="32"/>
      <c r="G1084" s="32"/>
      <c r="H1084" s="196"/>
      <c r="I1084" s="32"/>
      <c r="J1084" s="32"/>
      <c r="K1084" s="32"/>
      <c r="L1084" s="32"/>
      <c r="M1084" s="190"/>
      <c r="N1084" s="32"/>
      <c r="O1084" s="32"/>
      <c r="P1084" s="17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</row>
    <row r="1085" spans="2:33">
      <c r="B1085" s="111"/>
      <c r="C1085" s="32"/>
      <c r="D1085" s="32"/>
      <c r="E1085" s="32"/>
      <c r="F1085" s="32"/>
      <c r="G1085" s="32"/>
      <c r="H1085" s="196"/>
      <c r="I1085" s="32"/>
      <c r="J1085" s="32"/>
      <c r="K1085" s="32"/>
      <c r="L1085" s="32"/>
      <c r="M1085" s="190"/>
      <c r="N1085" s="32"/>
      <c r="O1085" s="32"/>
      <c r="P1085" s="17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</row>
    <row r="1086" spans="2:33">
      <c r="B1086" s="111"/>
      <c r="C1086" s="32"/>
      <c r="D1086" s="32"/>
      <c r="E1086" s="32"/>
      <c r="F1086" s="32"/>
      <c r="G1086" s="32"/>
      <c r="H1086" s="196"/>
      <c r="I1086" s="32"/>
      <c r="J1086" s="32"/>
      <c r="K1086" s="32"/>
      <c r="L1086" s="32"/>
      <c r="M1086" s="190"/>
      <c r="N1086" s="32"/>
      <c r="O1086" s="32"/>
      <c r="P1086" s="17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</row>
    <row r="1087" spans="2:33">
      <c r="B1087" s="111"/>
      <c r="C1087" s="32"/>
      <c r="D1087" s="32"/>
      <c r="E1087" s="32"/>
      <c r="F1087" s="32"/>
      <c r="G1087" s="32"/>
      <c r="H1087" s="196"/>
      <c r="I1087" s="32"/>
      <c r="J1087" s="32"/>
      <c r="K1087" s="32"/>
      <c r="L1087" s="32"/>
      <c r="M1087" s="190"/>
      <c r="N1087" s="32"/>
      <c r="O1087" s="32"/>
      <c r="P1087" s="17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</row>
    <row r="1088" spans="2:33">
      <c r="B1088" s="111"/>
      <c r="C1088" s="32"/>
      <c r="D1088" s="32"/>
      <c r="E1088" s="32"/>
      <c r="F1088" s="32"/>
      <c r="G1088" s="32"/>
      <c r="H1088" s="196"/>
      <c r="I1088" s="32"/>
      <c r="J1088" s="32"/>
      <c r="K1088" s="32"/>
      <c r="L1088" s="32"/>
      <c r="M1088" s="190"/>
      <c r="N1088" s="32"/>
      <c r="O1088" s="32"/>
      <c r="P1088" s="17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</row>
    <row r="1089" spans="2:33">
      <c r="B1089" s="111"/>
      <c r="C1089" s="32"/>
      <c r="D1089" s="32"/>
      <c r="E1089" s="32"/>
      <c r="F1089" s="32"/>
      <c r="G1089" s="32"/>
      <c r="H1089" s="196"/>
      <c r="I1089" s="32"/>
      <c r="J1089" s="32"/>
      <c r="K1089" s="32"/>
      <c r="L1089" s="32"/>
      <c r="M1089" s="190"/>
      <c r="N1089" s="32"/>
      <c r="O1089" s="32"/>
      <c r="P1089" s="17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</row>
    <row r="1090" spans="2:33">
      <c r="B1090" s="111"/>
      <c r="C1090" s="32"/>
      <c r="D1090" s="32"/>
      <c r="E1090" s="32"/>
      <c r="F1090" s="32"/>
      <c r="G1090" s="32"/>
      <c r="H1090" s="196"/>
      <c r="I1090" s="32"/>
      <c r="J1090" s="32"/>
      <c r="K1090" s="32"/>
      <c r="L1090" s="32"/>
      <c r="M1090" s="190"/>
      <c r="N1090" s="32"/>
      <c r="O1090" s="32"/>
      <c r="P1090" s="17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</row>
    <row r="1091" spans="2:33">
      <c r="B1091" s="111"/>
      <c r="C1091" s="32"/>
      <c r="D1091" s="32"/>
      <c r="E1091" s="32"/>
      <c r="F1091" s="32"/>
      <c r="G1091" s="32"/>
      <c r="H1091" s="196"/>
      <c r="I1091" s="32"/>
      <c r="J1091" s="32"/>
      <c r="K1091" s="32"/>
      <c r="L1091" s="32"/>
      <c r="M1091" s="190"/>
      <c r="N1091" s="32"/>
      <c r="O1091" s="32"/>
      <c r="P1091" s="17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</row>
    <row r="1092" spans="2:33">
      <c r="B1092" s="111"/>
      <c r="C1092" s="32"/>
      <c r="D1092" s="32"/>
      <c r="E1092" s="32"/>
      <c r="F1092" s="32"/>
      <c r="G1092" s="32"/>
      <c r="H1092" s="196"/>
      <c r="I1092" s="32"/>
      <c r="J1092" s="32"/>
      <c r="K1092" s="32"/>
      <c r="L1092" s="32"/>
      <c r="M1092" s="190"/>
      <c r="N1092" s="32"/>
      <c r="O1092" s="32"/>
      <c r="P1092" s="17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</row>
    <row r="1093" spans="2:33">
      <c r="B1093" s="111"/>
      <c r="C1093" s="32"/>
      <c r="D1093" s="32"/>
      <c r="E1093" s="32"/>
      <c r="F1093" s="32"/>
      <c r="G1093" s="32"/>
      <c r="H1093" s="196"/>
      <c r="I1093" s="32"/>
      <c r="J1093" s="32"/>
      <c r="K1093" s="32"/>
      <c r="L1093" s="32"/>
      <c r="M1093" s="190"/>
      <c r="N1093" s="32"/>
      <c r="O1093" s="32"/>
      <c r="P1093" s="17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</row>
    <row r="1094" spans="2:33">
      <c r="B1094" s="111"/>
      <c r="C1094" s="32"/>
      <c r="D1094" s="32"/>
      <c r="E1094" s="32"/>
      <c r="F1094" s="32"/>
      <c r="G1094" s="32"/>
      <c r="H1094" s="196"/>
      <c r="I1094" s="32"/>
      <c r="J1094" s="32"/>
      <c r="K1094" s="32"/>
      <c r="L1094" s="32"/>
      <c r="M1094" s="190"/>
      <c r="N1094" s="32"/>
      <c r="O1094" s="32"/>
      <c r="P1094" s="17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</row>
    <row r="1095" spans="2:33">
      <c r="B1095" s="111"/>
      <c r="C1095" s="32"/>
      <c r="D1095" s="32"/>
      <c r="E1095" s="32"/>
      <c r="F1095" s="32"/>
      <c r="G1095" s="32"/>
      <c r="H1095" s="196"/>
      <c r="I1095" s="32"/>
      <c r="J1095" s="32"/>
      <c r="K1095" s="32"/>
      <c r="L1095" s="32"/>
      <c r="M1095" s="190"/>
      <c r="N1095" s="32"/>
      <c r="O1095" s="32"/>
      <c r="P1095" s="17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</row>
    <row r="1096" spans="2:33">
      <c r="B1096" s="111"/>
      <c r="C1096" s="32"/>
      <c r="D1096" s="32"/>
      <c r="E1096" s="32"/>
      <c r="F1096" s="32"/>
      <c r="G1096" s="32"/>
      <c r="H1096" s="196"/>
      <c r="I1096" s="32"/>
      <c r="J1096" s="32"/>
      <c r="K1096" s="32"/>
      <c r="L1096" s="32"/>
      <c r="M1096" s="190"/>
      <c r="N1096" s="32"/>
      <c r="O1096" s="32"/>
      <c r="P1096" s="17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</row>
    <row r="1097" spans="2:33">
      <c r="B1097" s="111"/>
      <c r="C1097" s="32"/>
      <c r="D1097" s="32"/>
      <c r="E1097" s="32"/>
      <c r="F1097" s="32"/>
      <c r="G1097" s="32"/>
      <c r="H1097" s="196"/>
      <c r="I1097" s="32"/>
      <c r="J1097" s="32"/>
      <c r="K1097" s="32"/>
      <c r="L1097" s="32"/>
      <c r="M1097" s="190"/>
      <c r="N1097" s="32"/>
      <c r="O1097" s="32"/>
      <c r="P1097" s="17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</row>
    <row r="1098" spans="2:33">
      <c r="B1098" s="111"/>
      <c r="C1098" s="32"/>
      <c r="D1098" s="32"/>
      <c r="E1098" s="32"/>
      <c r="F1098" s="32"/>
      <c r="G1098" s="32"/>
      <c r="H1098" s="196"/>
      <c r="I1098" s="32"/>
      <c r="J1098" s="32"/>
      <c r="K1098" s="32"/>
      <c r="L1098" s="32"/>
      <c r="M1098" s="190"/>
      <c r="N1098" s="32"/>
      <c r="O1098" s="32"/>
      <c r="P1098" s="17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</row>
    <row r="1099" spans="2:33">
      <c r="B1099" s="111"/>
      <c r="C1099" s="32"/>
      <c r="D1099" s="32"/>
      <c r="E1099" s="32"/>
      <c r="F1099" s="32"/>
      <c r="G1099" s="32"/>
      <c r="H1099" s="196"/>
      <c r="I1099" s="32"/>
      <c r="J1099" s="32"/>
      <c r="K1099" s="32"/>
      <c r="L1099" s="32"/>
      <c r="M1099" s="190"/>
      <c r="N1099" s="32"/>
      <c r="O1099" s="32"/>
      <c r="P1099" s="17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</row>
    <row r="1100" spans="2:33">
      <c r="B1100" s="111"/>
      <c r="C1100" s="32"/>
      <c r="D1100" s="32"/>
      <c r="E1100" s="32"/>
      <c r="F1100" s="32"/>
      <c r="G1100" s="32"/>
      <c r="H1100" s="196"/>
      <c r="I1100" s="32"/>
      <c r="J1100" s="32"/>
      <c r="K1100" s="32"/>
      <c r="L1100" s="32"/>
      <c r="M1100" s="190"/>
      <c r="N1100" s="32"/>
      <c r="O1100" s="32"/>
      <c r="P1100" s="17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</row>
    <row r="1101" spans="2:33">
      <c r="B1101" s="111"/>
      <c r="C1101" s="32"/>
      <c r="D1101" s="32"/>
      <c r="E1101" s="32"/>
      <c r="F1101" s="32"/>
      <c r="G1101" s="32"/>
      <c r="H1101" s="196"/>
      <c r="I1101" s="32"/>
      <c r="J1101" s="32"/>
      <c r="K1101" s="32"/>
      <c r="L1101" s="32"/>
      <c r="M1101" s="190"/>
      <c r="N1101" s="32"/>
      <c r="O1101" s="32"/>
      <c r="P1101" s="17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</row>
    <row r="1102" spans="2:33">
      <c r="B1102" s="111"/>
      <c r="C1102" s="32"/>
      <c r="D1102" s="32"/>
      <c r="E1102" s="32"/>
      <c r="F1102" s="32"/>
      <c r="G1102" s="32"/>
      <c r="H1102" s="196"/>
      <c r="I1102" s="32"/>
      <c r="J1102" s="32"/>
      <c r="K1102" s="32"/>
      <c r="L1102" s="32"/>
      <c r="M1102" s="190"/>
      <c r="N1102" s="32"/>
      <c r="O1102" s="32"/>
      <c r="P1102" s="17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</row>
    <row r="1103" spans="2:33">
      <c r="B1103" s="111"/>
      <c r="C1103" s="32"/>
      <c r="D1103" s="32"/>
      <c r="E1103" s="32"/>
      <c r="F1103" s="32"/>
      <c r="G1103" s="32"/>
      <c r="H1103" s="196"/>
      <c r="I1103" s="32"/>
      <c r="J1103" s="32"/>
      <c r="K1103" s="32"/>
      <c r="L1103" s="32"/>
      <c r="M1103" s="190"/>
      <c r="N1103" s="32"/>
      <c r="O1103" s="32"/>
      <c r="P1103" s="17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</row>
    <row r="1104" spans="2:33">
      <c r="B1104" s="111"/>
      <c r="C1104" s="32"/>
      <c r="D1104" s="32"/>
      <c r="E1104" s="32"/>
      <c r="F1104" s="32"/>
      <c r="G1104" s="32"/>
      <c r="H1104" s="196"/>
      <c r="I1104" s="32"/>
      <c r="J1104" s="32"/>
      <c r="K1104" s="32"/>
      <c r="L1104" s="32"/>
      <c r="M1104" s="190"/>
      <c r="N1104" s="32"/>
      <c r="O1104" s="32"/>
      <c r="P1104" s="17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</row>
    <row r="1105" spans="2:33">
      <c r="B1105" s="111"/>
      <c r="C1105" s="32"/>
      <c r="D1105" s="32"/>
      <c r="E1105" s="32"/>
      <c r="F1105" s="32"/>
      <c r="G1105" s="32"/>
      <c r="H1105" s="196"/>
      <c r="I1105" s="32"/>
      <c r="J1105" s="32"/>
      <c r="K1105" s="32"/>
      <c r="L1105" s="32"/>
      <c r="M1105" s="190"/>
      <c r="N1105" s="32"/>
      <c r="O1105" s="32"/>
      <c r="P1105" s="17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</row>
    <row r="1106" spans="2:33">
      <c r="B1106" s="111"/>
      <c r="C1106" s="32"/>
      <c r="D1106" s="32"/>
      <c r="E1106" s="32"/>
      <c r="F1106" s="32"/>
      <c r="G1106" s="32"/>
      <c r="H1106" s="196"/>
      <c r="I1106" s="32"/>
      <c r="J1106" s="32"/>
      <c r="K1106" s="32"/>
      <c r="L1106" s="32"/>
      <c r="M1106" s="190"/>
      <c r="N1106" s="32"/>
      <c r="O1106" s="32"/>
      <c r="P1106" s="17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</row>
    <row r="1107" spans="2:33">
      <c r="B1107" s="111"/>
      <c r="C1107" s="32"/>
      <c r="D1107" s="32"/>
      <c r="E1107" s="32"/>
      <c r="F1107" s="32"/>
      <c r="G1107" s="32"/>
      <c r="H1107" s="196"/>
      <c r="I1107" s="32"/>
      <c r="J1107" s="32"/>
      <c r="K1107" s="32"/>
      <c r="L1107" s="32"/>
      <c r="M1107" s="190"/>
      <c r="N1107" s="32"/>
      <c r="O1107" s="32"/>
      <c r="P1107" s="17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</row>
    <row r="1108" spans="2:33">
      <c r="B1108" s="111"/>
      <c r="C1108" s="32"/>
      <c r="D1108" s="32"/>
      <c r="E1108" s="32"/>
      <c r="F1108" s="32"/>
      <c r="G1108" s="32"/>
      <c r="H1108" s="196"/>
      <c r="I1108" s="32"/>
      <c r="J1108" s="32"/>
      <c r="K1108" s="32"/>
      <c r="L1108" s="32"/>
      <c r="M1108" s="190"/>
      <c r="N1108" s="32"/>
      <c r="O1108" s="32"/>
      <c r="P1108" s="17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</row>
    <row r="1109" spans="2:33">
      <c r="B1109" s="111"/>
      <c r="C1109" s="32"/>
      <c r="D1109" s="32"/>
      <c r="E1109" s="32"/>
      <c r="F1109" s="32"/>
      <c r="G1109" s="32"/>
      <c r="H1109" s="196"/>
      <c r="I1109" s="32"/>
      <c r="J1109" s="32"/>
      <c r="K1109" s="32"/>
      <c r="L1109" s="32"/>
      <c r="M1109" s="190"/>
      <c r="N1109" s="32"/>
      <c r="O1109" s="32"/>
      <c r="P1109" s="17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</row>
    <row r="1110" spans="2:33">
      <c r="B1110" s="111"/>
      <c r="C1110" s="32"/>
      <c r="D1110" s="32"/>
      <c r="E1110" s="32"/>
      <c r="F1110" s="32"/>
      <c r="G1110" s="32"/>
      <c r="H1110" s="196"/>
      <c r="I1110" s="32"/>
      <c r="J1110" s="32"/>
      <c r="K1110" s="32"/>
      <c r="L1110" s="32"/>
      <c r="M1110" s="190"/>
      <c r="N1110" s="32"/>
      <c r="O1110" s="32"/>
      <c r="P1110" s="17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</row>
    <row r="1111" spans="2:33">
      <c r="B1111" s="111"/>
      <c r="C1111" s="32"/>
      <c r="D1111" s="32"/>
      <c r="E1111" s="32"/>
      <c r="F1111" s="32"/>
      <c r="G1111" s="32"/>
      <c r="H1111" s="196"/>
      <c r="I1111" s="32"/>
      <c r="J1111" s="32"/>
      <c r="K1111" s="32"/>
      <c r="L1111" s="32"/>
      <c r="M1111" s="190"/>
      <c r="N1111" s="32"/>
      <c r="O1111" s="32"/>
      <c r="P1111" s="17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</row>
    <row r="1112" spans="2:33">
      <c r="B1112" s="111"/>
      <c r="C1112" s="32"/>
      <c r="D1112" s="32"/>
      <c r="E1112" s="32"/>
      <c r="F1112" s="32"/>
      <c r="G1112" s="32"/>
      <c r="H1112" s="196"/>
      <c r="I1112" s="32"/>
      <c r="J1112" s="32"/>
      <c r="K1112" s="32"/>
      <c r="L1112" s="32"/>
      <c r="M1112" s="190"/>
      <c r="N1112" s="32"/>
      <c r="O1112" s="32"/>
      <c r="P1112" s="17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</row>
    <row r="1113" spans="2:33">
      <c r="B1113" s="111"/>
      <c r="C1113" s="32"/>
      <c r="D1113" s="32"/>
      <c r="E1113" s="32"/>
      <c r="F1113" s="32"/>
      <c r="G1113" s="32"/>
      <c r="H1113" s="196"/>
      <c r="I1113" s="32"/>
      <c r="J1113" s="32"/>
      <c r="K1113" s="32"/>
      <c r="L1113" s="32"/>
      <c r="M1113" s="190"/>
      <c r="N1113" s="32"/>
      <c r="O1113" s="32"/>
      <c r="P1113" s="17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</row>
    <row r="1114" spans="2:33">
      <c r="B1114" s="111"/>
      <c r="C1114" s="32"/>
      <c r="D1114" s="32"/>
      <c r="E1114" s="32"/>
      <c r="F1114" s="32"/>
      <c r="G1114" s="32"/>
      <c r="H1114" s="196"/>
      <c r="I1114" s="32"/>
      <c r="J1114" s="32"/>
      <c r="K1114" s="32"/>
      <c r="L1114" s="32"/>
      <c r="M1114" s="190"/>
      <c r="N1114" s="32"/>
      <c r="O1114" s="32"/>
      <c r="P1114" s="17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</row>
    <row r="1115" spans="2:33">
      <c r="B1115" s="111"/>
      <c r="C1115" s="32"/>
      <c r="D1115" s="32"/>
      <c r="E1115" s="32"/>
      <c r="F1115" s="32"/>
      <c r="G1115" s="32"/>
      <c r="H1115" s="196"/>
      <c r="I1115" s="32"/>
      <c r="J1115" s="32"/>
      <c r="K1115" s="32"/>
      <c r="L1115" s="32"/>
      <c r="M1115" s="190"/>
      <c r="N1115" s="32"/>
      <c r="O1115" s="32"/>
      <c r="P1115" s="17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</row>
    <row r="1116" spans="2:33">
      <c r="B1116" s="111"/>
      <c r="C1116" s="32"/>
      <c r="D1116" s="32"/>
      <c r="E1116" s="32"/>
      <c r="F1116" s="32"/>
      <c r="G1116" s="32"/>
      <c r="H1116" s="196"/>
      <c r="I1116" s="32"/>
      <c r="J1116" s="32"/>
      <c r="K1116" s="32"/>
      <c r="L1116" s="32"/>
      <c r="M1116" s="190"/>
      <c r="N1116" s="32"/>
      <c r="O1116" s="32"/>
      <c r="P1116" s="17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</row>
    <row r="1117" spans="2:33">
      <c r="B1117" s="111"/>
      <c r="C1117" s="32"/>
      <c r="D1117" s="32"/>
      <c r="E1117" s="32"/>
      <c r="F1117" s="32"/>
      <c r="G1117" s="32"/>
      <c r="H1117" s="196"/>
      <c r="I1117" s="32"/>
      <c r="J1117" s="32"/>
      <c r="K1117" s="32"/>
      <c r="L1117" s="32"/>
      <c r="M1117" s="190"/>
      <c r="N1117" s="32"/>
      <c r="O1117" s="32"/>
      <c r="P1117" s="17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</row>
    <row r="1118" spans="2:33">
      <c r="B1118" s="111"/>
      <c r="C1118" s="32"/>
      <c r="D1118" s="32"/>
      <c r="E1118" s="32"/>
      <c r="F1118" s="32"/>
      <c r="G1118" s="32"/>
      <c r="H1118" s="196"/>
      <c r="I1118" s="32"/>
      <c r="J1118" s="32"/>
      <c r="K1118" s="32"/>
      <c r="L1118" s="32"/>
      <c r="M1118" s="190"/>
      <c r="N1118" s="32"/>
      <c r="O1118" s="32"/>
      <c r="P1118" s="17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</row>
    <row r="1119" spans="2:33">
      <c r="B1119" s="111"/>
      <c r="C1119" s="32"/>
      <c r="D1119" s="32"/>
      <c r="E1119" s="32"/>
      <c r="F1119" s="32"/>
      <c r="G1119" s="32"/>
      <c r="H1119" s="196"/>
      <c r="I1119" s="32"/>
      <c r="J1119" s="32"/>
      <c r="K1119" s="32"/>
      <c r="L1119" s="32"/>
      <c r="M1119" s="190"/>
      <c r="N1119" s="32"/>
      <c r="O1119" s="32"/>
      <c r="P1119" s="17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</row>
    <row r="1120" spans="2:33">
      <c r="B1120" s="111"/>
      <c r="C1120" s="32"/>
      <c r="D1120" s="32"/>
      <c r="E1120" s="32"/>
      <c r="F1120" s="32"/>
      <c r="G1120" s="32"/>
      <c r="H1120" s="196"/>
      <c r="I1120" s="32"/>
      <c r="J1120" s="32"/>
      <c r="K1120" s="32"/>
      <c r="L1120" s="32"/>
      <c r="M1120" s="190"/>
      <c r="N1120" s="32"/>
      <c r="O1120" s="32"/>
      <c r="P1120" s="17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</row>
    <row r="1121" spans="2:33">
      <c r="B1121" s="111"/>
      <c r="C1121" s="32"/>
      <c r="D1121" s="32"/>
      <c r="E1121" s="32"/>
      <c r="F1121" s="32"/>
      <c r="G1121" s="32"/>
      <c r="H1121" s="196"/>
      <c r="I1121" s="32"/>
      <c r="J1121" s="32"/>
      <c r="K1121" s="32"/>
      <c r="L1121" s="32"/>
      <c r="M1121" s="190"/>
      <c r="N1121" s="32"/>
      <c r="O1121" s="32"/>
      <c r="P1121" s="17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</row>
    <row r="1122" spans="2:33">
      <c r="B1122" s="111"/>
      <c r="C1122" s="32"/>
      <c r="D1122" s="32"/>
      <c r="E1122" s="32"/>
      <c r="F1122" s="32"/>
      <c r="G1122" s="32"/>
      <c r="H1122" s="196"/>
      <c r="I1122" s="32"/>
      <c r="J1122" s="32"/>
      <c r="K1122" s="32"/>
      <c r="L1122" s="32"/>
      <c r="M1122" s="190"/>
      <c r="N1122" s="32"/>
      <c r="O1122" s="32"/>
      <c r="P1122" s="17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</row>
    <row r="1123" spans="2:33">
      <c r="B1123" s="111"/>
      <c r="C1123" s="32"/>
      <c r="D1123" s="32"/>
      <c r="E1123" s="32"/>
      <c r="F1123" s="32"/>
      <c r="G1123" s="32"/>
      <c r="H1123" s="196"/>
      <c r="I1123" s="32"/>
      <c r="J1123" s="32"/>
      <c r="K1123" s="32"/>
      <c r="L1123" s="32"/>
      <c r="M1123" s="190"/>
      <c r="N1123" s="32"/>
      <c r="O1123" s="32"/>
      <c r="P1123" s="17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</row>
    <row r="1124" spans="2:33">
      <c r="B1124" s="111"/>
      <c r="C1124" s="32"/>
      <c r="D1124" s="32"/>
      <c r="E1124" s="32"/>
      <c r="F1124" s="32"/>
      <c r="G1124" s="32"/>
      <c r="H1124" s="196"/>
      <c r="I1124" s="32"/>
      <c r="J1124" s="32"/>
      <c r="K1124" s="32"/>
      <c r="L1124" s="32"/>
      <c r="M1124" s="190"/>
      <c r="N1124" s="32"/>
      <c r="O1124" s="32"/>
      <c r="P1124" s="17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</row>
    <row r="1125" spans="2:33">
      <c r="B1125" s="111"/>
      <c r="C1125" s="32"/>
      <c r="D1125" s="32"/>
      <c r="E1125" s="32"/>
      <c r="F1125" s="32"/>
      <c r="G1125" s="32"/>
      <c r="H1125" s="196"/>
      <c r="I1125" s="32"/>
      <c r="J1125" s="32"/>
      <c r="K1125" s="32"/>
      <c r="L1125" s="32"/>
      <c r="M1125" s="190"/>
      <c r="N1125" s="32"/>
      <c r="O1125" s="32"/>
      <c r="P1125" s="17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</row>
    <row r="1126" spans="2:33">
      <c r="B1126" s="111"/>
      <c r="C1126" s="32"/>
      <c r="D1126" s="32"/>
      <c r="E1126" s="32"/>
      <c r="F1126" s="32"/>
      <c r="G1126" s="32"/>
      <c r="H1126" s="196"/>
      <c r="I1126" s="32"/>
      <c r="J1126" s="32"/>
      <c r="K1126" s="32"/>
      <c r="L1126" s="32"/>
      <c r="M1126" s="190"/>
      <c r="N1126" s="32"/>
      <c r="O1126" s="32"/>
      <c r="P1126" s="17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</row>
    <row r="1127" spans="2:33">
      <c r="B1127" s="111"/>
      <c r="C1127" s="32"/>
      <c r="D1127" s="32"/>
      <c r="E1127" s="32"/>
      <c r="F1127" s="32"/>
      <c r="G1127" s="32"/>
      <c r="H1127" s="196"/>
      <c r="I1127" s="32"/>
      <c r="J1127" s="32"/>
      <c r="K1127" s="32"/>
      <c r="L1127" s="32"/>
      <c r="M1127" s="190"/>
      <c r="N1127" s="32"/>
      <c r="O1127" s="32"/>
      <c r="P1127" s="17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</row>
    <row r="1128" spans="2:33">
      <c r="B1128" s="111"/>
      <c r="C1128" s="32"/>
      <c r="D1128" s="32"/>
      <c r="E1128" s="32"/>
      <c r="F1128" s="32"/>
      <c r="G1128" s="32"/>
      <c r="H1128" s="196"/>
      <c r="I1128" s="32"/>
      <c r="J1128" s="32"/>
      <c r="K1128" s="32"/>
      <c r="L1128" s="32"/>
      <c r="M1128" s="190"/>
      <c r="N1128" s="32"/>
      <c r="O1128" s="32"/>
      <c r="P1128" s="17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</row>
    <row r="1129" spans="2:33">
      <c r="B1129" s="111"/>
      <c r="C1129" s="32"/>
      <c r="D1129" s="32"/>
      <c r="E1129" s="32"/>
      <c r="F1129" s="32"/>
      <c r="G1129" s="32"/>
      <c r="H1129" s="196"/>
      <c r="I1129" s="32"/>
      <c r="J1129" s="32"/>
      <c r="K1129" s="32"/>
      <c r="L1129" s="32"/>
      <c r="M1129" s="190"/>
      <c r="N1129" s="32"/>
      <c r="O1129" s="32"/>
      <c r="P1129" s="17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</row>
    <row r="1130" spans="2:33">
      <c r="B1130" s="111"/>
      <c r="C1130" s="32"/>
      <c r="D1130" s="32"/>
      <c r="E1130" s="32"/>
      <c r="F1130" s="32"/>
      <c r="G1130" s="32"/>
      <c r="H1130" s="196"/>
      <c r="I1130" s="32"/>
      <c r="J1130" s="32"/>
      <c r="K1130" s="32"/>
      <c r="L1130" s="32"/>
      <c r="M1130" s="190"/>
      <c r="N1130" s="32"/>
      <c r="O1130" s="32"/>
      <c r="P1130" s="17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</row>
    <row r="1131" spans="2:33">
      <c r="B1131" s="111"/>
      <c r="C1131" s="32"/>
      <c r="D1131" s="32"/>
      <c r="E1131" s="32"/>
      <c r="F1131" s="32"/>
      <c r="G1131" s="32"/>
      <c r="H1131" s="196"/>
      <c r="I1131" s="32"/>
      <c r="J1131" s="32"/>
      <c r="K1131" s="32"/>
      <c r="L1131" s="32"/>
      <c r="M1131" s="190"/>
      <c r="N1131" s="32"/>
      <c r="O1131" s="32"/>
      <c r="P1131" s="17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</row>
    <row r="1132" spans="2:33">
      <c r="B1132" s="111"/>
      <c r="C1132" s="32"/>
      <c r="D1132" s="32"/>
      <c r="E1132" s="32"/>
      <c r="F1132" s="32"/>
      <c r="G1132" s="32"/>
      <c r="H1132" s="196"/>
      <c r="I1132" s="32"/>
      <c r="J1132" s="32"/>
      <c r="K1132" s="32"/>
      <c r="L1132" s="32"/>
      <c r="M1132" s="190"/>
      <c r="N1132" s="32"/>
      <c r="O1132" s="32"/>
      <c r="P1132" s="17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</row>
    <row r="1133" spans="2:33">
      <c r="B1133" s="111"/>
      <c r="C1133" s="32"/>
      <c r="D1133" s="32"/>
      <c r="E1133" s="32"/>
      <c r="F1133" s="32"/>
      <c r="G1133" s="32"/>
      <c r="H1133" s="196"/>
      <c r="I1133" s="32"/>
      <c r="J1133" s="32"/>
      <c r="K1133" s="32"/>
      <c r="L1133" s="32"/>
      <c r="M1133" s="190"/>
      <c r="N1133" s="32"/>
      <c r="O1133" s="32"/>
      <c r="P1133" s="17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</row>
    <row r="1134" spans="2:33">
      <c r="B1134" s="111"/>
      <c r="C1134" s="32"/>
      <c r="D1134" s="32"/>
      <c r="E1134" s="32"/>
      <c r="F1134" s="32"/>
      <c r="G1134" s="32"/>
      <c r="H1134" s="196"/>
      <c r="I1134" s="32"/>
      <c r="J1134" s="32"/>
      <c r="K1134" s="32"/>
      <c r="L1134" s="32"/>
      <c r="M1134" s="190"/>
      <c r="N1134" s="32"/>
      <c r="O1134" s="32"/>
      <c r="P1134" s="17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</row>
    <row r="1135" spans="2:33">
      <c r="B1135" s="111"/>
      <c r="C1135" s="32"/>
      <c r="D1135" s="32"/>
      <c r="E1135" s="32"/>
      <c r="F1135" s="32"/>
      <c r="G1135" s="32"/>
      <c r="H1135" s="196"/>
      <c r="I1135" s="32"/>
      <c r="J1135" s="32"/>
      <c r="K1135" s="32"/>
      <c r="L1135" s="32"/>
      <c r="M1135" s="190"/>
      <c r="N1135" s="32"/>
      <c r="O1135" s="32"/>
      <c r="P1135" s="17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</row>
    <row r="1136" spans="2:33">
      <c r="B1136" s="111"/>
      <c r="C1136" s="32"/>
      <c r="D1136" s="32"/>
      <c r="E1136" s="32"/>
      <c r="F1136" s="32"/>
      <c r="G1136" s="32"/>
      <c r="H1136" s="196"/>
      <c r="I1136" s="32"/>
      <c r="J1136" s="32"/>
      <c r="K1136" s="32"/>
      <c r="L1136" s="32"/>
      <c r="M1136" s="190"/>
      <c r="N1136" s="32"/>
      <c r="O1136" s="32"/>
      <c r="P1136" s="17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</row>
    <row r="1137" spans="2:33">
      <c r="B1137" s="111"/>
      <c r="C1137" s="32"/>
      <c r="D1137" s="32"/>
      <c r="E1137" s="32"/>
      <c r="F1137" s="32"/>
      <c r="G1137" s="32"/>
      <c r="H1137" s="196"/>
      <c r="I1137" s="32"/>
      <c r="J1137" s="32"/>
      <c r="K1137" s="32"/>
      <c r="L1137" s="32"/>
      <c r="M1137" s="190"/>
      <c r="N1137" s="32"/>
      <c r="O1137" s="32"/>
      <c r="P1137" s="17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</row>
    <row r="1138" spans="2:33">
      <c r="B1138" s="111"/>
      <c r="C1138" s="32"/>
      <c r="D1138" s="32"/>
      <c r="E1138" s="32"/>
      <c r="F1138" s="32"/>
      <c r="G1138" s="32"/>
      <c r="H1138" s="196"/>
      <c r="I1138" s="32"/>
      <c r="J1138" s="32"/>
      <c r="K1138" s="32"/>
      <c r="L1138" s="32"/>
      <c r="M1138" s="190"/>
      <c r="N1138" s="32"/>
      <c r="O1138" s="32"/>
      <c r="P1138" s="17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</row>
    <row r="1139" spans="2:33">
      <c r="B1139" s="111"/>
      <c r="C1139" s="32"/>
      <c r="D1139" s="32"/>
      <c r="E1139" s="32"/>
      <c r="F1139" s="32"/>
      <c r="G1139" s="32"/>
      <c r="H1139" s="196"/>
      <c r="I1139" s="32"/>
      <c r="J1139" s="32"/>
      <c r="K1139" s="32"/>
      <c r="L1139" s="32"/>
      <c r="M1139" s="190"/>
      <c r="N1139" s="32"/>
      <c r="O1139" s="32"/>
      <c r="P1139" s="17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</row>
    <row r="1140" spans="2:33">
      <c r="B1140" s="111"/>
      <c r="C1140" s="32"/>
      <c r="D1140" s="32"/>
      <c r="E1140" s="32"/>
      <c r="F1140" s="32"/>
      <c r="G1140" s="32"/>
      <c r="H1140" s="196"/>
      <c r="I1140" s="32"/>
      <c r="J1140" s="32"/>
      <c r="K1140" s="32"/>
      <c r="L1140" s="32"/>
      <c r="M1140" s="190"/>
      <c r="N1140" s="32"/>
      <c r="O1140" s="32"/>
      <c r="P1140" s="17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</row>
    <row r="1141" spans="2:33">
      <c r="B1141" s="111"/>
      <c r="C1141" s="32"/>
      <c r="D1141" s="32"/>
      <c r="E1141" s="32"/>
      <c r="F1141" s="32"/>
      <c r="G1141" s="32"/>
      <c r="H1141" s="196"/>
      <c r="I1141" s="32"/>
      <c r="J1141" s="32"/>
      <c r="K1141" s="32"/>
      <c r="L1141" s="32"/>
      <c r="M1141" s="190"/>
      <c r="N1141" s="32"/>
      <c r="O1141" s="32"/>
      <c r="P1141" s="17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</row>
    <row r="1142" spans="2:33">
      <c r="B1142" s="111"/>
      <c r="C1142" s="32"/>
      <c r="D1142" s="32"/>
      <c r="E1142" s="32"/>
      <c r="F1142" s="32"/>
      <c r="G1142" s="32"/>
      <c r="H1142" s="196"/>
      <c r="I1142" s="32"/>
      <c r="J1142" s="32"/>
      <c r="K1142" s="32"/>
      <c r="L1142" s="32"/>
      <c r="M1142" s="190"/>
      <c r="N1142" s="32"/>
      <c r="O1142" s="32"/>
      <c r="P1142" s="17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</row>
    <row r="1143" spans="2:33">
      <c r="B1143" s="111"/>
      <c r="C1143" s="32"/>
      <c r="D1143" s="32"/>
      <c r="E1143" s="32"/>
      <c r="F1143" s="32"/>
      <c r="G1143" s="32"/>
      <c r="H1143" s="196"/>
      <c r="I1143" s="32"/>
      <c r="J1143" s="32"/>
      <c r="K1143" s="32"/>
      <c r="L1143" s="32"/>
      <c r="M1143" s="190"/>
      <c r="N1143" s="32"/>
      <c r="O1143" s="32"/>
      <c r="P1143" s="17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</row>
    <row r="1144" spans="2:33">
      <c r="B1144" s="111"/>
      <c r="C1144" s="32"/>
      <c r="D1144" s="32"/>
      <c r="E1144" s="32"/>
      <c r="F1144" s="32"/>
      <c r="G1144" s="32"/>
      <c r="H1144" s="196"/>
      <c r="I1144" s="32"/>
      <c r="J1144" s="32"/>
      <c r="K1144" s="32"/>
      <c r="L1144" s="32"/>
      <c r="M1144" s="190"/>
      <c r="N1144" s="32"/>
      <c r="O1144" s="32"/>
      <c r="P1144" s="17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</row>
    <row r="1145" spans="2:33">
      <c r="B1145" s="111"/>
      <c r="C1145" s="32"/>
      <c r="D1145" s="32"/>
      <c r="E1145" s="32"/>
      <c r="F1145" s="32"/>
      <c r="G1145" s="32"/>
      <c r="H1145" s="196"/>
      <c r="I1145" s="32"/>
      <c r="J1145" s="32"/>
      <c r="K1145" s="32"/>
      <c r="L1145" s="32"/>
      <c r="M1145" s="190"/>
      <c r="N1145" s="32"/>
      <c r="O1145" s="32"/>
      <c r="P1145" s="17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</row>
    <row r="6116" spans="3:16">
      <c r="C6116" s="24" t="s">
        <v>2628</v>
      </c>
      <c r="M6116" s="24"/>
      <c r="P6116" s="24"/>
    </row>
  </sheetData>
  <mergeCells count="22">
    <mergeCell ref="Q242:R242"/>
    <mergeCell ref="S242:T242"/>
    <mergeCell ref="U242:V242"/>
    <mergeCell ref="W242:X242"/>
    <mergeCell ref="E212:E213"/>
    <mergeCell ref="E242:F242"/>
    <mergeCell ref="G242:I242"/>
    <mergeCell ref="J242:L242"/>
    <mergeCell ref="M242:N242"/>
    <mergeCell ref="O242:P242"/>
    <mergeCell ref="P5:Q6"/>
    <mergeCell ref="B5:B6"/>
    <mergeCell ref="C5:C6"/>
    <mergeCell ref="D5:D6"/>
    <mergeCell ref="E5:E6"/>
    <mergeCell ref="F5:G5"/>
    <mergeCell ref="I5:I6"/>
    <mergeCell ref="J5:J6"/>
    <mergeCell ref="K5:K6"/>
    <mergeCell ref="L5:L6"/>
    <mergeCell ref="M5:M6"/>
    <mergeCell ref="O5:O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Listing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2019-08-14T08:07:17Z</dcterms:created>
  <dcterms:modified xsi:type="dcterms:W3CDTF">2019-08-19T05:59:04Z</dcterms:modified>
</cp:coreProperties>
</file>