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D:\2022\KPMG 2022\"/>
    </mc:Choice>
  </mc:AlternateContent>
  <xr:revisionPtr revIDLastSave="0" documentId="13_ncr:1_{9E3A2C71-B5C7-4309-B977-2BC4CAC9D75D}" xr6:coauthVersionLast="47" xr6:coauthVersionMax="47" xr10:uidLastSave="{00000000-0000-0000-0000-000000000000}"/>
  <bookViews>
    <workbookView xWindow="-108" yWindow="-108" windowWidth="23256" windowHeight="12576" tabRatio="632" xr2:uid="{00000000-000D-0000-FFFF-FFFF00000000}"/>
  </bookViews>
  <sheets>
    <sheet name="nuur" sheetId="3" r:id="rId1"/>
    <sheet name="BL mn" sheetId="16" state="hidden" r:id="rId2"/>
    <sheet name="nuur1" sheetId="10" r:id="rId3"/>
    <sheet name="balance" sheetId="5" r:id="rId4"/>
    <sheet name="Balanc GOYO" sheetId="33" state="hidden" r:id="rId5"/>
    <sheet name="NEGTGESEN BALANC" sheetId="37" state="hidden" r:id="rId6"/>
    <sheet name="IS" sheetId="42" state="hidden" r:id="rId7"/>
    <sheet name="income" sheetId="6" r:id="rId8"/>
    <sheet name="cash flow" sheetId="7" r:id="rId9"/>
    <sheet name="capital pr" sheetId="27" state="hidden" r:id="rId10"/>
    <sheet name="NEGTGESEN CF" sheetId="39" state="hidden" r:id="rId11"/>
    <sheet name="equ" sheetId="8" r:id="rId12"/>
    <sheet name="EQU GOYO" sheetId="35" state="hidden" r:id="rId13"/>
    <sheet name="NEGTGESEN EQU" sheetId="40" state="hidden" r:id="rId14"/>
    <sheet name="Тодруулга 20191231" sheetId="41" state="hidden" r:id="rId15"/>
    <sheet name="TOD2017_201805" sheetId="28" state="hidden" r:id="rId16"/>
    <sheet name="Sheet1" sheetId="32" state="hidden" r:id="rId17"/>
    <sheet name="todruulgaCash&gt;avlaga" sheetId="11" state="hidden" r:id="rId18"/>
    <sheet name="tod avlaga hevleh" sheetId="19" state="hidden" r:id="rId19"/>
    <sheet name="todruulga-Undsen hurungu" sheetId="12" state="hidden" r:id="rId20"/>
    <sheet name="tod undsen hevleh" sheetId="20" state="hidden" r:id="rId21"/>
    <sheet name="todruulga-ur tulbur" sheetId="13" state="hidden" r:id="rId22"/>
    <sheet name="tod ur tul" sheetId="21" state="hidden" r:id="rId23"/>
    <sheet name="Monthly" sheetId="17" state="hidden" r:id="rId24"/>
    <sheet name="todruulga-Zardal" sheetId="14" state="hidden" r:id="rId25"/>
    <sheet name="todruulga zardal" sheetId="22" state="hidden" r:id="rId26"/>
    <sheet name="todruulga-busad" sheetId="15" state="hidden" r:id="rId27"/>
    <sheet name="tod busad" sheetId="23" state="hidden" r:id="rId28"/>
    <sheet name="hansh" sheetId="18" state="hidden" r:id="rId29"/>
    <sheet name="hansh 2015" sheetId="29" state="hidden" r:id="rId30"/>
    <sheet name="XXM" sheetId="30" state="hidden"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Print_Area" localSheetId="3">balance!$A$1:$D$72</definedName>
    <definedName name="_xlnm.Print_Area" localSheetId="8">'cash flow'!$A$1:$D$62</definedName>
    <definedName name="_xlnm.Print_Area" localSheetId="11">equ!$A$1:$G$17</definedName>
    <definedName name="_xlnm.Print_Area" localSheetId="7">income!$A$2:$D$40</definedName>
    <definedName name="_xlnm.Print_Area" localSheetId="18">'tod avlaga hevleh'!$A$1:$I$162</definedName>
    <definedName name="_xlnm.Print_Area" localSheetId="27">'tod busad'!$A$2:$N$37</definedName>
    <definedName name="_xlnm.Print_Area" localSheetId="20">'tod undsen hevleh'!$A$4:$J$117</definedName>
    <definedName name="_xlnm.Print_Area" localSheetId="22">'tod ur tul'!$A$1:$G$100</definedName>
    <definedName name="_xlnm.Print_Area" localSheetId="15">TOD2017_201805!$A$1:$K$435</definedName>
    <definedName name="_xlnm.Print_Area" localSheetId="25">'todruulga zardal'!$A$2:$I$144</definedName>
    <definedName name="_xlnm.Print_Area" localSheetId="26">'todruulga-busad'!$A$2:$N$37</definedName>
    <definedName name="_xlnm.Print_Area" localSheetId="17">'todruulgaCash&gt;avlaga'!$A$1:$I$159</definedName>
    <definedName name="_xlnm.Print_Area" localSheetId="19">'todruulga-Undsen hurungu'!$A$3:$J$122</definedName>
    <definedName name="_xlnm.Print_Area" localSheetId="21">'todruulga-ur tulbur'!$A$1:$G$100</definedName>
    <definedName name="_xlnm.Print_Area" localSheetId="24">'todruulga-Zardal'!$A$2:$I$144</definedName>
    <definedName name="_xlnm.Print_Titles" localSheetId="20">'tod undsen hevleh'!$38:$38</definedName>
  </definedNames>
  <calcPr calcId="181029"/>
</workbook>
</file>

<file path=xl/calcChain.xml><?xml version="1.0" encoding="utf-8"?>
<calcChain xmlns="http://schemas.openxmlformats.org/spreadsheetml/2006/main">
  <c r="D12" i="8" l="1"/>
  <c r="C9" i="6" l="1"/>
  <c r="C24" i="6" s="1"/>
  <c r="C26" i="6" s="1"/>
  <c r="C28" i="6" s="1"/>
  <c r="D9" i="6"/>
  <c r="D24" i="6" s="1"/>
  <c r="D57" i="7"/>
  <c r="B72" i="5" l="1"/>
  <c r="G7" i="8" l="1"/>
  <c r="G11" i="8" l="1"/>
  <c r="E6" i="8"/>
  <c r="D6" i="8"/>
  <c r="F8" i="8" l="1"/>
  <c r="D8" i="8" l="1"/>
  <c r="D3" i="5" l="1"/>
  <c r="J167" i="41" l="1"/>
  <c r="J166" i="41" s="1"/>
  <c r="J174" i="41" s="1"/>
  <c r="J177" i="41" s="1"/>
  <c r="G156" i="41"/>
  <c r="G163" i="41" s="1"/>
  <c r="G167" i="41"/>
  <c r="G166" i="41" s="1"/>
  <c r="G174" i="41" s="1"/>
  <c r="J178" i="41"/>
  <c r="J154" i="41"/>
  <c r="G178" i="41"/>
  <c r="F178" i="41"/>
  <c r="E178" i="41"/>
  <c r="E167" i="41"/>
  <c r="E166" i="41" s="1"/>
  <c r="E174" i="41" s="1"/>
  <c r="D178" i="41" s="1"/>
  <c r="E156" i="41"/>
  <c r="E154" i="41" s="1"/>
  <c r="H72" i="41"/>
  <c r="G72" i="41"/>
  <c r="G71" i="41"/>
  <c r="G73" i="41" s="1"/>
  <c r="H71" i="41"/>
  <c r="H79" i="41"/>
  <c r="G79" i="41"/>
  <c r="F72" i="41"/>
  <c r="F74" i="41"/>
  <c r="K71" i="41"/>
  <c r="J77" i="41"/>
  <c r="J75" i="41"/>
  <c r="J70" i="41"/>
  <c r="G74" i="41"/>
  <c r="J74" i="41" s="1"/>
  <c r="H74" i="41"/>
  <c r="G76" i="41" l="1"/>
  <c r="G78" i="41" s="1"/>
  <c r="E163" i="41"/>
  <c r="J179" i="41"/>
  <c r="G177" i="41"/>
  <c r="G179" i="41" s="1"/>
  <c r="G154" i="41"/>
  <c r="J72" i="41"/>
  <c r="K72" i="41"/>
  <c r="D179" i="41" l="1"/>
  <c r="E177" i="41"/>
  <c r="E179" i="41" s="1"/>
  <c r="F79" i="41"/>
  <c r="F71" i="41"/>
  <c r="I79" i="41" l="1"/>
  <c r="E71" i="41" l="1"/>
  <c r="D71" i="41"/>
  <c r="J71" i="41" l="1"/>
  <c r="E79" i="41"/>
  <c r="D79" i="41"/>
  <c r="D20" i="41"/>
  <c r="D24" i="41" s="1"/>
  <c r="F20" i="41"/>
  <c r="E22" i="41"/>
  <c r="F22" i="41" s="1"/>
  <c r="G24" i="41"/>
  <c r="E24" i="41" l="1"/>
  <c r="F550" i="41"/>
  <c r="E549" i="41"/>
  <c r="E548" i="41"/>
  <c r="E547" i="41"/>
  <c r="E546" i="41"/>
  <c r="E543" i="41"/>
  <c r="E542" i="41"/>
  <c r="E541" i="41"/>
  <c r="E540" i="41"/>
  <c r="E539" i="41"/>
  <c r="E538" i="41"/>
  <c r="E536" i="41"/>
  <c r="E535" i="41"/>
  <c r="E534" i="41"/>
  <c r="E533" i="41"/>
  <c r="E532" i="41"/>
  <c r="E531" i="41"/>
  <c r="E529" i="41"/>
  <c r="E530" i="41"/>
  <c r="E521" i="41"/>
  <c r="F412" i="41" l="1"/>
  <c r="F244" i="41" l="1"/>
  <c r="G244" i="41"/>
  <c r="K129" i="41" l="1"/>
  <c r="F19" i="41" l="1"/>
  <c r="F24" i="41" s="1"/>
  <c r="E1" i="41"/>
  <c r="E354" i="41" l="1"/>
  <c r="D21" i="41" l="1"/>
  <c r="F21" i="41" s="1"/>
  <c r="F141" i="41" l="1"/>
  <c r="F142" i="41" s="1"/>
  <c r="E423" i="41"/>
  <c r="E422" i="41"/>
  <c r="E421" i="41"/>
  <c r="E420" i="41"/>
  <c r="D314" i="41" l="1"/>
  <c r="F308" i="41"/>
  <c r="F314" i="41" s="1"/>
  <c r="H129" i="41"/>
  <c r="G129" i="41"/>
  <c r="I129" i="41"/>
  <c r="E107" i="41" l="1"/>
  <c r="K127" i="41"/>
  <c r="K126" i="41"/>
  <c r="K124" i="41"/>
  <c r="K120" i="41"/>
  <c r="K119" i="41"/>
  <c r="K105" i="41"/>
  <c r="K113" i="41"/>
  <c r="K111" i="41"/>
  <c r="K110" i="41"/>
  <c r="K103" i="41"/>
  <c r="K101" i="41"/>
  <c r="D106" i="41"/>
  <c r="J107" i="41" l="1"/>
  <c r="M113" i="41"/>
  <c r="J121" i="41"/>
  <c r="I117" i="41"/>
  <c r="K136" i="41"/>
  <c r="K137" i="41" s="1"/>
  <c r="K116" i="41"/>
  <c r="L101" i="41" s="1"/>
  <c r="K115" i="41"/>
  <c r="G104" i="41"/>
  <c r="G102" i="41" s="1"/>
  <c r="G98" i="41"/>
  <c r="F98" i="41"/>
  <c r="E98" i="41"/>
  <c r="D114" i="41"/>
  <c r="D128" i="41" s="1"/>
  <c r="I137" i="41" l="1"/>
  <c r="H94" i="41" l="1"/>
  <c r="H96" i="41" s="1"/>
  <c r="G94" i="41"/>
  <c r="D424" i="41" l="1"/>
  <c r="E412" i="41"/>
  <c r="G412" i="41" s="1"/>
  <c r="E339" i="41"/>
  <c r="E334" i="41"/>
  <c r="E338" i="41" s="1"/>
  <c r="D269" i="41"/>
  <c r="E234" i="41"/>
  <c r="E231" i="41"/>
  <c r="E230" i="41"/>
  <c r="E229" i="41"/>
  <c r="D236" i="41"/>
  <c r="D221" i="41"/>
  <c r="E207" i="41"/>
  <c r="H73" i="41"/>
  <c r="E73" i="41"/>
  <c r="E76" i="41" s="1"/>
  <c r="E78" i="41" s="1"/>
  <c r="D73" i="41"/>
  <c r="D76" i="41" s="1"/>
  <c r="D78" i="41" s="1"/>
  <c r="D208" i="41"/>
  <c r="E88" i="41"/>
  <c r="E90" i="41"/>
  <c r="D92" i="41"/>
  <c r="I73" i="41"/>
  <c r="I76" i="41" s="1"/>
  <c r="I78" i="41" s="1"/>
  <c r="E50" i="41"/>
  <c r="E49" i="41"/>
  <c r="D51" i="41"/>
  <c r="E19" i="28"/>
  <c r="E7" i="41"/>
  <c r="E6" i="41"/>
  <c r="H76" i="41" l="1"/>
  <c r="H78" i="41" s="1"/>
  <c r="E9" i="41"/>
  <c r="F73" i="41"/>
  <c r="F76" i="41" s="1"/>
  <c r="F78" i="41" s="1"/>
  <c r="E358" i="41"/>
  <c r="E340" i="41"/>
  <c r="E236" i="41"/>
  <c r="E92" i="41"/>
  <c r="J73" i="41" l="1"/>
  <c r="G2" i="8"/>
  <c r="B12" i="8" s="1"/>
  <c r="K74" i="41" l="1"/>
  <c r="J76" i="41"/>
  <c r="J78" i="41" s="1"/>
  <c r="E445" i="41" l="1"/>
  <c r="F445" i="41" s="1"/>
  <c r="E550" i="41" l="1"/>
  <c r="G550" i="41" s="1"/>
  <c r="E424" i="41"/>
  <c r="F424" i="41" s="1"/>
  <c r="E370" i="41" l="1"/>
  <c r="E44" i="41"/>
  <c r="E51" i="41" s="1"/>
  <c r="E34" i="41"/>
  <c r="E33" i="41"/>
  <c r="E32" i="41"/>
  <c r="L156" i="41"/>
  <c r="L167" i="41"/>
  <c r="E36" i="41" l="1"/>
  <c r="E208" i="41" l="1"/>
  <c r="F208" i="41" s="1"/>
  <c r="D44" i="7"/>
  <c r="L177" i="41" l="1"/>
  <c r="I6" i="40" l="1"/>
  <c r="I8" i="40" s="1"/>
  <c r="J13" i="40"/>
  <c r="I12" i="40"/>
  <c r="J12" i="40" s="1"/>
  <c r="J11" i="40"/>
  <c r="J10" i="40"/>
  <c r="J7" i="40"/>
  <c r="H6" i="40"/>
  <c r="H8" i="40" s="1"/>
  <c r="H14" i="40" s="1"/>
  <c r="G6" i="40"/>
  <c r="G8" i="40" s="1"/>
  <c r="G14" i="40" s="1"/>
  <c r="F6" i="40"/>
  <c r="F8" i="40" s="1"/>
  <c r="F14" i="40" s="1"/>
  <c r="E6" i="40"/>
  <c r="E8" i="40" s="1"/>
  <c r="E14" i="40" s="1"/>
  <c r="D6" i="40"/>
  <c r="D8" i="40" s="1"/>
  <c r="D14" i="40" s="1"/>
  <c r="C6" i="40"/>
  <c r="C8" i="40" s="1"/>
  <c r="J2" i="40"/>
  <c r="B14" i="40" s="1"/>
  <c r="A2" i="40"/>
  <c r="C19" i="35"/>
  <c r="C17" i="35"/>
  <c r="J15" i="35"/>
  <c r="J13" i="35"/>
  <c r="J12" i="35"/>
  <c r="I11" i="35"/>
  <c r="F11" i="35"/>
  <c r="C11" i="35"/>
  <c r="J10" i="35"/>
  <c r="I9" i="35"/>
  <c r="J9" i="35" s="1"/>
  <c r="I8" i="35"/>
  <c r="H8" i="35"/>
  <c r="H14" i="35" s="1"/>
  <c r="G8" i="35"/>
  <c r="G14" i="35" s="1"/>
  <c r="F8" i="35"/>
  <c r="E8" i="35"/>
  <c r="E14" i="35" s="1"/>
  <c r="D8" i="35"/>
  <c r="D14" i="35" s="1"/>
  <c r="C8" i="35"/>
  <c r="J7" i="35"/>
  <c r="J6" i="35"/>
  <c r="J2" i="35"/>
  <c r="B14" i="35" s="1"/>
  <c r="A2" i="35"/>
  <c r="J11" i="35" l="1"/>
  <c r="C14" i="35"/>
  <c r="F14" i="35"/>
  <c r="J6" i="40"/>
  <c r="J8" i="40"/>
  <c r="C14" i="40"/>
  <c r="J8" i="35"/>
  <c r="I14" i="35"/>
  <c r="J14" i="35" l="1"/>
  <c r="J16" i="35" s="1"/>
  <c r="E58" i="39"/>
  <c r="D34" i="39"/>
  <c r="K34" i="39" s="1"/>
  <c r="D54" i="39"/>
  <c r="G54" i="39" s="1"/>
  <c r="D48" i="39"/>
  <c r="K48" i="39" s="1"/>
  <c r="D12" i="39"/>
  <c r="G12" i="39" s="1"/>
  <c r="D11" i="39"/>
  <c r="K11" i="39" s="1"/>
  <c r="D10" i="39"/>
  <c r="G10" i="39" s="1"/>
  <c r="D9" i="39"/>
  <c r="I57" i="39"/>
  <c r="I56" i="39" s="1"/>
  <c r="D57" i="39"/>
  <c r="K57" i="39" s="1"/>
  <c r="K43" i="39"/>
  <c r="I43" i="39"/>
  <c r="G43" i="39"/>
  <c r="K25" i="39"/>
  <c r="I25" i="39"/>
  <c r="G25" i="39"/>
  <c r="D3" i="39"/>
  <c r="A3" i="39"/>
  <c r="F35" i="37"/>
  <c r="N66" i="37"/>
  <c r="N64" i="37"/>
  <c r="N63" i="37"/>
  <c r="N61" i="37"/>
  <c r="N60" i="37"/>
  <c r="K18" i="37"/>
  <c r="F62" i="37"/>
  <c r="L18" i="37"/>
  <c r="D66" i="37"/>
  <c r="L66" i="37" s="1"/>
  <c r="D64" i="37"/>
  <c r="L64" i="37" s="1"/>
  <c r="D63" i="37"/>
  <c r="L63" i="37" s="1"/>
  <c r="D61" i="37"/>
  <c r="L61" i="37" s="1"/>
  <c r="D60" i="37"/>
  <c r="L60" i="37" s="1"/>
  <c r="O60" i="37" s="1"/>
  <c r="D58" i="37"/>
  <c r="J72" i="37"/>
  <c r="J70" i="37"/>
  <c r="O61" i="37" l="1"/>
  <c r="O63" i="37"/>
  <c r="O64" i="37"/>
  <c r="O66" i="37"/>
  <c r="F58" i="37"/>
  <c r="F67" i="37" s="1"/>
  <c r="I54" i="39"/>
  <c r="G48" i="39"/>
  <c r="I48" i="39"/>
  <c r="K54" i="39"/>
  <c r="I34" i="39"/>
  <c r="G34" i="39"/>
  <c r="I12" i="39"/>
  <c r="G9" i="39"/>
  <c r="G57" i="39"/>
  <c r="I9" i="39"/>
  <c r="K9" i="39"/>
  <c r="K12" i="39"/>
  <c r="K10" i="39"/>
  <c r="I10" i="39"/>
  <c r="G11" i="39"/>
  <c r="I11" i="39"/>
  <c r="L58" i="37" l="1"/>
  <c r="C66" i="37"/>
  <c r="K66" i="37" s="1"/>
  <c r="C65" i="37"/>
  <c r="K65" i="37" s="1"/>
  <c r="C64" i="37"/>
  <c r="K64" i="37" s="1"/>
  <c r="C63" i="37"/>
  <c r="K63" i="37" s="1"/>
  <c r="C62" i="37"/>
  <c r="K62" i="37" s="1"/>
  <c r="C61" i="37"/>
  <c r="K61" i="37" s="1"/>
  <c r="C60" i="37"/>
  <c r="K60" i="37" s="1"/>
  <c r="C59" i="37"/>
  <c r="C58" i="37"/>
  <c r="K58" i="37" s="1"/>
  <c r="D53" i="37"/>
  <c r="L53" i="37" s="1"/>
  <c r="C53" i="37"/>
  <c r="K53" i="37" s="1"/>
  <c r="C52" i="37"/>
  <c r="K52" i="37" s="1"/>
  <c r="C51" i="37"/>
  <c r="K51" i="37" s="1"/>
  <c r="C50" i="37"/>
  <c r="K50" i="37" s="1"/>
  <c r="C49" i="37"/>
  <c r="D46" i="37"/>
  <c r="L46" i="37" s="1"/>
  <c r="C46" i="37"/>
  <c r="K46" i="37" s="1"/>
  <c r="C45" i="37"/>
  <c r="K45" i="37" s="1"/>
  <c r="C44" i="37"/>
  <c r="K44" i="37" s="1"/>
  <c r="C43" i="37"/>
  <c r="K43" i="37" s="1"/>
  <c r="C42" i="37"/>
  <c r="K42" i="37" s="1"/>
  <c r="C41" i="37"/>
  <c r="K41" i="37" s="1"/>
  <c r="C40" i="37"/>
  <c r="K40" i="37" s="1"/>
  <c r="C39" i="37"/>
  <c r="K39" i="37" s="1"/>
  <c r="C38" i="37"/>
  <c r="K38" i="37" s="1"/>
  <c r="C37" i="37"/>
  <c r="K37" i="37" s="1"/>
  <c r="C36" i="37"/>
  <c r="K36" i="37" s="1"/>
  <c r="C35" i="37"/>
  <c r="K35" i="37" s="1"/>
  <c r="D29" i="37"/>
  <c r="L29" i="37" s="1"/>
  <c r="C29" i="37"/>
  <c r="K29" i="37" s="1"/>
  <c r="C28" i="37"/>
  <c r="K28" i="37" s="1"/>
  <c r="C27" i="37"/>
  <c r="K27" i="37" s="1"/>
  <c r="C26" i="37"/>
  <c r="K26" i="37" s="1"/>
  <c r="C25" i="37"/>
  <c r="K25" i="37" s="1"/>
  <c r="C24" i="37"/>
  <c r="K24" i="37" s="1"/>
  <c r="C23" i="37"/>
  <c r="K23" i="37" s="1"/>
  <c r="C22" i="37"/>
  <c r="K22" i="37" s="1"/>
  <c r="C21" i="37"/>
  <c r="C10" i="37"/>
  <c r="C11" i="37"/>
  <c r="K11" i="37" s="1"/>
  <c r="C12" i="37"/>
  <c r="K12" i="37" s="1"/>
  <c r="C13" i="37"/>
  <c r="K13" i="37" s="1"/>
  <c r="C14" i="37"/>
  <c r="K14" i="37" s="1"/>
  <c r="C15" i="37"/>
  <c r="K15" i="37" s="1"/>
  <c r="C16" i="37"/>
  <c r="K16" i="37" s="1"/>
  <c r="C17" i="37"/>
  <c r="K17" i="37" s="1"/>
  <c r="C9" i="37"/>
  <c r="K9" i="37" s="1"/>
  <c r="B72" i="37"/>
  <c r="B70" i="37"/>
  <c r="D3" i="37"/>
  <c r="L3" i="37" s="1"/>
  <c r="B72" i="33"/>
  <c r="B70" i="33"/>
  <c r="D67" i="33"/>
  <c r="G67" i="33" s="1"/>
  <c r="C67" i="33"/>
  <c r="G66" i="33"/>
  <c r="G65" i="33"/>
  <c r="G64" i="33"/>
  <c r="G63" i="33"/>
  <c r="G62" i="33"/>
  <c r="G61" i="33"/>
  <c r="G60" i="33"/>
  <c r="G59" i="33"/>
  <c r="G58" i="33"/>
  <c r="G57" i="33"/>
  <c r="G56" i="33"/>
  <c r="D54" i="33"/>
  <c r="G54" i="33" s="1"/>
  <c r="C54" i="33"/>
  <c r="G53" i="33"/>
  <c r="G52" i="33"/>
  <c r="G51" i="33"/>
  <c r="G50" i="33"/>
  <c r="G49" i="33"/>
  <c r="G48" i="33"/>
  <c r="D47" i="33"/>
  <c r="G47" i="33" s="1"/>
  <c r="C47" i="33"/>
  <c r="C55" i="33" s="1"/>
  <c r="C68" i="33" s="1"/>
  <c r="G46" i="33"/>
  <c r="G45" i="33"/>
  <c r="G44" i="33"/>
  <c r="G43" i="33"/>
  <c r="G42" i="33"/>
  <c r="G41" i="33"/>
  <c r="G40" i="33"/>
  <c r="G39" i="33"/>
  <c r="G38" i="33"/>
  <c r="G37" i="33"/>
  <c r="G36" i="33"/>
  <c r="G35" i="33"/>
  <c r="G34" i="33"/>
  <c r="G33" i="33"/>
  <c r="G32" i="33"/>
  <c r="D30" i="33"/>
  <c r="G30" i="33" s="1"/>
  <c r="C30" i="33"/>
  <c r="G29" i="33"/>
  <c r="G28" i="33"/>
  <c r="G27" i="33"/>
  <c r="G26" i="33"/>
  <c r="G25" i="33"/>
  <c r="G24" i="33"/>
  <c r="G23" i="33"/>
  <c r="G22" i="33"/>
  <c r="G21" i="33"/>
  <c r="G20" i="33"/>
  <c r="D19" i="33"/>
  <c r="C19" i="33"/>
  <c r="C31" i="33" s="1"/>
  <c r="G18" i="33"/>
  <c r="G17" i="33"/>
  <c r="G16" i="33"/>
  <c r="G15" i="33"/>
  <c r="G14" i="33"/>
  <c r="G13" i="33"/>
  <c r="G12" i="33"/>
  <c r="G11" i="33"/>
  <c r="G10" i="33"/>
  <c r="G9" i="33"/>
  <c r="D3" i="33"/>
  <c r="A3" i="33"/>
  <c r="D31" i="33" l="1"/>
  <c r="D55" i="33"/>
  <c r="D68" i="33" s="1"/>
  <c r="G68" i="33" s="1"/>
  <c r="G19" i="33"/>
  <c r="C47" i="37"/>
  <c r="C19" i="37"/>
  <c r="K10" i="37"/>
  <c r="K19" i="37" s="1"/>
  <c r="K47" i="37"/>
  <c r="C67" i="37"/>
  <c r="K59" i="37"/>
  <c r="K67" i="37" s="1"/>
  <c r="C30" i="37"/>
  <c r="K21" i="37"/>
  <c r="K30" i="37"/>
  <c r="C54" i="37"/>
  <c r="K49" i="37"/>
  <c r="K54" i="37" s="1"/>
  <c r="C69" i="33"/>
  <c r="G31" i="33"/>
  <c r="K31" i="37" l="1"/>
  <c r="C31" i="37"/>
  <c r="D69" i="33"/>
  <c r="G55" i="33"/>
  <c r="C55" i="37"/>
  <c r="C68" i="37" s="1"/>
  <c r="K55" i="37"/>
  <c r="K68" i="37" s="1"/>
  <c r="K69" i="37" s="1"/>
  <c r="C69" i="37" l="1"/>
  <c r="F16" i="37"/>
  <c r="F19" i="37" l="1"/>
  <c r="F31" i="37" s="1"/>
  <c r="F68" i="37" s="1"/>
  <c r="I188" i="28" l="1"/>
  <c r="G185" i="28"/>
  <c r="H185" i="28" s="1"/>
  <c r="F185" i="28"/>
  <c r="F72" i="28"/>
  <c r="E59" i="28"/>
  <c r="G56" i="28"/>
  <c r="G48" i="28"/>
  <c r="D16" i="28"/>
  <c r="I185" i="28" l="1"/>
  <c r="I189" i="28" s="1"/>
  <c r="E433" i="28"/>
  <c r="U27" i="32"/>
  <c r="V21" i="32"/>
  <c r="T20" i="32" s="1"/>
  <c r="U21" i="32"/>
  <c r="I404" i="28"/>
  <c r="H404" i="28"/>
  <c r="G404" i="28"/>
  <c r="F404" i="28"/>
  <c r="J383" i="28"/>
  <c r="J384" i="28"/>
  <c r="J385" i="28"/>
  <c r="J386" i="28"/>
  <c r="J387" i="28"/>
  <c r="J388" i="28"/>
  <c r="J389" i="28"/>
  <c r="J390" i="28"/>
  <c r="J391" i="28"/>
  <c r="F392" i="28"/>
  <c r="F408" i="28" s="1"/>
  <c r="H392" i="28"/>
  <c r="I392" i="28"/>
  <c r="N383" i="28"/>
  <c r="G382" i="28" s="1"/>
  <c r="G392" i="28" s="1"/>
  <c r="G408" i="28" l="1"/>
  <c r="H408" i="28"/>
  <c r="I408" i="28"/>
  <c r="L384" i="28"/>
  <c r="L383" i="28"/>
  <c r="M385" i="28"/>
  <c r="E253" i="28" l="1"/>
  <c r="H106" i="28"/>
  <c r="J130" i="28"/>
  <c r="J134" i="28" s="1"/>
  <c r="I130" i="28"/>
  <c r="I134" i="28" s="1"/>
  <c r="H130" i="28"/>
  <c r="H134" i="28" s="1"/>
  <c r="G130" i="28"/>
  <c r="F130" i="28"/>
  <c r="F134" i="28" s="1"/>
  <c r="E130" i="28"/>
  <c r="K71" i="28"/>
  <c r="K73" i="28"/>
  <c r="K74" i="28"/>
  <c r="K77" i="28"/>
  <c r="K78" i="28"/>
  <c r="K79" i="28"/>
  <c r="K80" i="28"/>
  <c r="K81" i="28"/>
  <c r="D82" i="28"/>
  <c r="J82" i="28"/>
  <c r="G72" i="28" l="1"/>
  <c r="I72" i="28"/>
  <c r="H72" i="28"/>
  <c r="E72" i="28"/>
  <c r="I91" i="28"/>
  <c r="K91" i="28"/>
  <c r="K87" i="28"/>
  <c r="K88" i="28"/>
  <c r="K90" i="28"/>
  <c r="K92" i="28"/>
  <c r="F89" i="28"/>
  <c r="F93" i="28" s="1"/>
  <c r="G89" i="28"/>
  <c r="G93" i="28" s="1"/>
  <c r="H89" i="28"/>
  <c r="H93" i="28" s="1"/>
  <c r="I89" i="28"/>
  <c r="I93" i="28" s="1"/>
  <c r="J89" i="28"/>
  <c r="J93" i="28" s="1"/>
  <c r="J102" i="28" s="1"/>
  <c r="E89" i="28"/>
  <c r="E93" i="28" s="1"/>
  <c r="E102" i="28" s="1"/>
  <c r="E97" i="28"/>
  <c r="F97" i="28"/>
  <c r="G97" i="28"/>
  <c r="H97" i="28"/>
  <c r="I97" i="28"/>
  <c r="J97" i="28"/>
  <c r="D97" i="28"/>
  <c r="K99" i="28"/>
  <c r="J100" i="28"/>
  <c r="L78" i="28"/>
  <c r="M78" i="28" s="1"/>
  <c r="M92" i="28"/>
  <c r="L76" i="28"/>
  <c r="M76" i="28" s="1"/>
  <c r="K97" i="28" l="1"/>
  <c r="M93" i="28"/>
  <c r="M382" i="28"/>
  <c r="K72" i="28"/>
  <c r="M388" i="28"/>
  <c r="M386" i="28"/>
  <c r="M387" i="28"/>
  <c r="K89" i="28"/>
  <c r="K93" i="28"/>
  <c r="M392" i="28" l="1"/>
  <c r="F76" i="28"/>
  <c r="J75" i="28"/>
  <c r="I75" i="28"/>
  <c r="I82" i="28" s="1"/>
  <c r="H75" i="28"/>
  <c r="H82" i="28" s="1"/>
  <c r="G75" i="28"/>
  <c r="G82" i="28" s="1"/>
  <c r="E75" i="28"/>
  <c r="J70" i="28"/>
  <c r="I70" i="28"/>
  <c r="H70" i="28"/>
  <c r="G70" i="28"/>
  <c r="F70" i="28"/>
  <c r="E70" i="28"/>
  <c r="D28" i="37"/>
  <c r="L28" i="37" s="1"/>
  <c r="E82" i="28" l="1"/>
  <c r="F75" i="28"/>
  <c r="F82" i="28" s="1"/>
  <c r="K76" i="28"/>
  <c r="D21" i="37"/>
  <c r="L21" i="37" s="1"/>
  <c r="L96" i="28"/>
  <c r="L97" i="28" s="1"/>
  <c r="F295" i="28"/>
  <c r="F283" i="28"/>
  <c r="E282" i="28"/>
  <c r="F281" i="28"/>
  <c r="E281" i="28" s="1"/>
  <c r="F280" i="28"/>
  <c r="E280" i="28" s="1"/>
  <c r="F279" i="28"/>
  <c r="E279" i="28" s="1"/>
  <c r="D283" i="28"/>
  <c r="K82" i="28" l="1"/>
  <c r="L71" i="28" s="1"/>
  <c r="K75" i="28"/>
  <c r="F296" i="28"/>
  <c r="E283" i="28"/>
  <c r="D202" i="28" l="1"/>
  <c r="S84" i="28"/>
  <c r="S85" i="28" s="1"/>
  <c r="R84" i="28"/>
  <c r="R85" i="28" s="1"/>
  <c r="Q84" i="28"/>
  <c r="Q85" i="28" s="1"/>
  <c r="P84" i="28"/>
  <c r="P85" i="28" s="1"/>
  <c r="O84" i="28"/>
  <c r="O85" i="28" s="1"/>
  <c r="N84" i="28"/>
  <c r="N85" i="28" s="1"/>
  <c r="M84" i="28"/>
  <c r="M85" i="28" s="1"/>
  <c r="L84" i="28"/>
  <c r="L85" i="28" s="1"/>
  <c r="D96" i="28"/>
  <c r="J95" i="28"/>
  <c r="I95" i="28"/>
  <c r="H95" i="28"/>
  <c r="G95" i="28"/>
  <c r="F95" i="28"/>
  <c r="E95" i="28"/>
  <c r="D95" i="28"/>
  <c r="E65" i="28"/>
  <c r="F65" i="28"/>
  <c r="G65" i="28"/>
  <c r="H65" i="28"/>
  <c r="I65" i="28"/>
  <c r="J65" i="28"/>
  <c r="D65" i="28"/>
  <c r="H48" i="28"/>
  <c r="F48" i="28"/>
  <c r="E36" i="28"/>
  <c r="K95" i="28" l="1"/>
  <c r="D98" i="28"/>
  <c r="D100" i="28"/>
  <c r="J52" i="28"/>
  <c r="J47" i="28"/>
  <c r="G50" i="28"/>
  <c r="H50" i="28"/>
  <c r="D48" i="28"/>
  <c r="D50" i="28" s="1"/>
  <c r="D49" i="28"/>
  <c r="E54" i="28"/>
  <c r="G54" i="28"/>
  <c r="G49" i="28"/>
  <c r="E63" i="28" l="1"/>
  <c r="H54" i="28"/>
  <c r="I54" i="28"/>
  <c r="D54" i="28"/>
  <c r="E50" i="28"/>
  <c r="E53" i="28" s="1"/>
  <c r="E55" i="28" s="1"/>
  <c r="F49" i="28"/>
  <c r="I15" i="28"/>
  <c r="J15" i="28" s="1"/>
  <c r="I86" i="28"/>
  <c r="I94" i="28"/>
  <c r="I83" i="28"/>
  <c r="H86" i="28"/>
  <c r="F100" i="28"/>
  <c r="K69" i="28"/>
  <c r="K64" i="28" s="1"/>
  <c r="F86" i="28"/>
  <c r="N76" i="28"/>
  <c r="P76" i="28" s="1"/>
  <c r="N78" i="28"/>
  <c r="K84" i="28"/>
  <c r="G126" i="28"/>
  <c r="G134" i="28" s="1"/>
  <c r="K113" i="28"/>
  <c r="J49" i="28" l="1"/>
  <c r="F50" i="28"/>
  <c r="F53" i="28" s="1"/>
  <c r="L77" i="28"/>
  <c r="D53" i="28"/>
  <c r="E86" i="28"/>
  <c r="F96" i="28" l="1"/>
  <c r="F98" i="28" s="1"/>
  <c r="F102" i="28"/>
  <c r="D55" i="28"/>
  <c r="G127" i="28" l="1"/>
  <c r="G117" i="28"/>
  <c r="G114" i="28"/>
  <c r="E127" i="28"/>
  <c r="E126" i="28" s="1"/>
  <c r="E134" i="28" s="1"/>
  <c r="E120" i="28"/>
  <c r="E119" i="28" s="1"/>
  <c r="E116" i="28"/>
  <c r="M396" i="28" s="1"/>
  <c r="G123" i="28" l="1"/>
  <c r="M399" i="28"/>
  <c r="M408" i="28" s="1"/>
  <c r="I100" i="28"/>
  <c r="G86" i="28"/>
  <c r="K86" i="28" s="1"/>
  <c r="H51" i="28"/>
  <c r="H53" i="28" s="1"/>
  <c r="H55" i="28" s="1"/>
  <c r="H57" i="28" s="1"/>
  <c r="G51" i="28"/>
  <c r="F54" i="28"/>
  <c r="J54" i="28" s="1"/>
  <c r="F55" i="28"/>
  <c r="J51" i="28" l="1"/>
  <c r="G53" i="28"/>
  <c r="J94" i="28"/>
  <c r="K94" i="28" s="1"/>
  <c r="I102" i="28"/>
  <c r="J83" i="28"/>
  <c r="I96" i="28"/>
  <c r="F57" i="28"/>
  <c r="K85" i="28"/>
  <c r="G100" i="28"/>
  <c r="G55" i="28" l="1"/>
  <c r="H102" i="28"/>
  <c r="H96" i="28"/>
  <c r="H98" i="28" s="1"/>
  <c r="H100" i="28"/>
  <c r="L90" i="28"/>
  <c r="E431" i="28"/>
  <c r="E430" i="28"/>
  <c r="E427" i="28"/>
  <c r="E426" i="28"/>
  <c r="E425" i="28"/>
  <c r="E424" i="28"/>
  <c r="E423" i="28"/>
  <c r="E422" i="28"/>
  <c r="E420" i="28"/>
  <c r="E419" i="28"/>
  <c r="E418" i="28"/>
  <c r="E417" i="28"/>
  <c r="E416" i="28"/>
  <c r="E415" i="28"/>
  <c r="E414" i="28"/>
  <c r="E413" i="28"/>
  <c r="D435" i="28"/>
  <c r="D343" i="28"/>
  <c r="D344" i="28" s="1"/>
  <c r="E342" i="28"/>
  <c r="E341" i="28"/>
  <c r="F337" i="28"/>
  <c r="E336" i="28"/>
  <c r="F334" i="28"/>
  <c r="F335" i="28"/>
  <c r="E324" i="28"/>
  <c r="E328" i="28" s="1"/>
  <c r="E329" i="28" s="1"/>
  <c r="D328" i="28"/>
  <c r="D329" i="28" s="1"/>
  <c r="E300" i="28"/>
  <c r="E317" i="28"/>
  <c r="E318" i="28"/>
  <c r="E316" i="28"/>
  <c r="E313" i="28"/>
  <c r="E315" i="28"/>
  <c r="E314" i="28"/>
  <c r="E311" i="28"/>
  <c r="E310" i="28"/>
  <c r="E309" i="28"/>
  <c r="E308" i="28"/>
  <c r="E307" i="28"/>
  <c r="E304" i="28"/>
  <c r="E303" i="28"/>
  <c r="E302" i="28"/>
  <c r="E301" i="28"/>
  <c r="E299" i="28"/>
  <c r="E298" i="28"/>
  <c r="D319" i="28"/>
  <c r="D274" i="28"/>
  <c r="D275" i="28" s="1"/>
  <c r="E261" i="28"/>
  <c r="E265" i="28" s="1"/>
  <c r="E258" i="28"/>
  <c r="E257" i="28"/>
  <c r="E259" i="28" s="1"/>
  <c r="E434" i="28" l="1"/>
  <c r="F336" i="28"/>
  <c r="F338" i="28" s="1"/>
  <c r="E343" i="28"/>
  <c r="G57" i="28"/>
  <c r="G102" i="28"/>
  <c r="K102" i="28" s="1"/>
  <c r="G96" i="28"/>
  <c r="G98" i="28" s="1"/>
  <c r="F208" i="28"/>
  <c r="F207" i="28" s="1"/>
  <c r="F210" i="28"/>
  <c r="G207" i="28"/>
  <c r="G188" i="28"/>
  <c r="F188" i="28" l="1"/>
  <c r="E188" i="28"/>
  <c r="D188" i="28"/>
  <c r="D189" i="28" s="1"/>
  <c r="E174" i="28"/>
  <c r="E173" i="28"/>
  <c r="E180" i="28" s="1"/>
  <c r="D180" i="28"/>
  <c r="D168" i="28"/>
  <c r="D169" i="28" s="1"/>
  <c r="D154" i="28"/>
  <c r="D155" i="28" s="1"/>
  <c r="E149" i="28"/>
  <c r="F106" i="28"/>
  <c r="D59" i="28"/>
  <c r="D63" i="28" s="1"/>
  <c r="D64" i="28" s="1"/>
  <c r="E9" i="28" l="1"/>
  <c r="D37" i="28" l="1"/>
  <c r="D38" i="28" s="1"/>
  <c r="D44" i="28" s="1"/>
  <c r="E37" i="28"/>
  <c r="E26" i="28"/>
  <c r="E25" i="28"/>
  <c r="D27" i="28"/>
  <c r="D15" i="28"/>
  <c r="E27" i="28" l="1"/>
  <c r="E201" i="28"/>
  <c r="E202" i="28" s="1"/>
  <c r="E38" i="28"/>
  <c r="E44" i="28" l="1"/>
  <c r="E20" i="28"/>
  <c r="D14" i="28"/>
  <c r="E10" i="28" l="1"/>
  <c r="D40" i="39" l="1"/>
  <c r="K40" i="39" s="1"/>
  <c r="I40" i="39" l="1"/>
  <c r="G40" i="39"/>
  <c r="D35" i="7"/>
  <c r="F51" i="41" l="1"/>
  <c r="D12" i="37" l="1"/>
  <c r="L12" i="37" s="1"/>
  <c r="E268" i="41" l="1"/>
  <c r="E269" i="41" s="1"/>
  <c r="F269" i="41" s="1"/>
  <c r="D44" i="37"/>
  <c r="L44" i="37" s="1"/>
  <c r="J407" i="28"/>
  <c r="L407" i="28" s="1"/>
  <c r="J406" i="28"/>
  <c r="L406" i="28" s="1"/>
  <c r="J405" i="28"/>
  <c r="L405" i="28" s="1"/>
  <c r="J403" i="28"/>
  <c r="L403" i="28" s="1"/>
  <c r="J402" i="28"/>
  <c r="L402" i="28" s="1"/>
  <c r="J401" i="28"/>
  <c r="L401" i="28" s="1"/>
  <c r="J400" i="28"/>
  <c r="L400" i="28" s="1"/>
  <c r="J399" i="28"/>
  <c r="L399" i="28" s="1"/>
  <c r="J398" i="28"/>
  <c r="L398" i="28" s="1"/>
  <c r="J397" i="28"/>
  <c r="L397" i="28" s="1"/>
  <c r="J394" i="28"/>
  <c r="L394" i="28" s="1"/>
  <c r="J393" i="28"/>
  <c r="L393" i="28" s="1"/>
  <c r="L391" i="28"/>
  <c r="L390" i="28"/>
  <c r="L389" i="28"/>
  <c r="L388" i="28"/>
  <c r="L387" i="28"/>
  <c r="L386" i="28"/>
  <c r="L385" i="28"/>
  <c r="J381" i="28"/>
  <c r="J380" i="28"/>
  <c r="E319" i="28"/>
  <c r="G137" i="28"/>
  <c r="J123" i="28"/>
  <c r="J137" i="28" s="1"/>
  <c r="I123" i="28"/>
  <c r="I137" i="28" s="1"/>
  <c r="H123" i="28"/>
  <c r="H137" i="28" s="1"/>
  <c r="F123" i="28"/>
  <c r="F137" i="28" s="1"/>
  <c r="K136" i="28"/>
  <c r="K135" i="28"/>
  <c r="K133" i="28"/>
  <c r="K132" i="28"/>
  <c r="K131" i="28"/>
  <c r="K130" i="28"/>
  <c r="K129" i="28"/>
  <c r="K128" i="28"/>
  <c r="K127" i="28"/>
  <c r="K126" i="28"/>
  <c r="K125" i="28"/>
  <c r="K124" i="28"/>
  <c r="K122" i="28"/>
  <c r="K121" i="28"/>
  <c r="K120" i="28"/>
  <c r="K119" i="28"/>
  <c r="K118" i="28"/>
  <c r="K117" i="28"/>
  <c r="K116" i="28"/>
  <c r="K115" i="28"/>
  <c r="E396" i="28"/>
  <c r="I50" i="28"/>
  <c r="J48" i="28"/>
  <c r="I53" i="28" l="1"/>
  <c r="J50" i="28"/>
  <c r="K134" i="28"/>
  <c r="J396" i="28"/>
  <c r="L396" i="28" s="1"/>
  <c r="E395" i="28"/>
  <c r="E404" i="28" s="1"/>
  <c r="E114" i="28"/>
  <c r="E123" i="28" s="1"/>
  <c r="E137" i="28" s="1"/>
  <c r="K137" i="28" s="1"/>
  <c r="I55" i="28" l="1"/>
  <c r="J55" i="28" s="1"/>
  <c r="J53" i="28"/>
  <c r="K114" i="28"/>
  <c r="J395" i="28"/>
  <c r="L395" i="28" s="1"/>
  <c r="J404" i="28" l="1"/>
  <c r="K123" i="28"/>
  <c r="L404" i="28" l="1"/>
  <c r="E392" i="28" l="1"/>
  <c r="J382" i="28"/>
  <c r="J96" i="28"/>
  <c r="J98" i="28" s="1"/>
  <c r="I98" i="28"/>
  <c r="F15" i="28"/>
  <c r="F18" i="28"/>
  <c r="F17" i="28"/>
  <c r="F16" i="28"/>
  <c r="F14" i="28"/>
  <c r="D51" i="37" l="1"/>
  <c r="L51" i="37" s="1"/>
  <c r="L382" i="28"/>
  <c r="J392" i="28"/>
  <c r="J408" i="28" s="1"/>
  <c r="F19" i="28"/>
  <c r="E408" i="28"/>
  <c r="D19" i="28"/>
  <c r="L392" i="28" l="1"/>
  <c r="L408" i="28"/>
  <c r="N37" i="27" l="1"/>
  <c r="L37" i="27"/>
  <c r="G37" i="27"/>
  <c r="D37" i="27"/>
  <c r="E39" i="28" l="1"/>
  <c r="L34" i="23" l="1"/>
  <c r="K34" i="23"/>
  <c r="J34" i="23"/>
  <c r="I34" i="23"/>
  <c r="H34" i="23"/>
  <c r="G34" i="23"/>
  <c r="F34" i="23"/>
  <c r="E34" i="23"/>
  <c r="D34" i="23"/>
  <c r="L33" i="23"/>
  <c r="K33" i="23"/>
  <c r="J33" i="23"/>
  <c r="I33" i="23"/>
  <c r="H33" i="23"/>
  <c r="G33" i="23"/>
  <c r="F33" i="23"/>
  <c r="E33" i="23"/>
  <c r="D33" i="23"/>
  <c r="L32" i="23"/>
  <c r="K32" i="23"/>
  <c r="J32" i="23"/>
  <c r="I32" i="23"/>
  <c r="H32" i="23"/>
  <c r="G32" i="23"/>
  <c r="F32" i="23"/>
  <c r="E32" i="23"/>
  <c r="D32" i="23"/>
  <c r="L30" i="23"/>
  <c r="K30" i="23"/>
  <c r="J30" i="23"/>
  <c r="I30" i="23"/>
  <c r="H30" i="23"/>
  <c r="G30" i="23"/>
  <c r="F30" i="23"/>
  <c r="E30" i="23"/>
  <c r="D30" i="23"/>
  <c r="L29" i="23"/>
  <c r="K29" i="23"/>
  <c r="J29" i="23"/>
  <c r="I29" i="23"/>
  <c r="H29" i="23"/>
  <c r="G29" i="23"/>
  <c r="F29" i="23"/>
  <c r="E29" i="23"/>
  <c r="D29" i="23"/>
  <c r="L28" i="23"/>
  <c r="K28" i="23"/>
  <c r="J28" i="23"/>
  <c r="I28" i="23"/>
  <c r="H28" i="23"/>
  <c r="G28" i="23"/>
  <c r="F28" i="23"/>
  <c r="E28" i="23"/>
  <c r="D28" i="23"/>
  <c r="L27" i="23"/>
  <c r="K27" i="23"/>
  <c r="J27" i="23"/>
  <c r="I27" i="23"/>
  <c r="H27" i="23"/>
  <c r="G27" i="23"/>
  <c r="F27" i="23"/>
  <c r="E27" i="23"/>
  <c r="D27" i="23"/>
  <c r="L26" i="23"/>
  <c r="K26" i="23"/>
  <c r="J26" i="23"/>
  <c r="I26" i="23"/>
  <c r="H26" i="23"/>
  <c r="G26" i="23"/>
  <c r="F26" i="23"/>
  <c r="E26" i="23"/>
  <c r="D26" i="23"/>
  <c r="L25" i="23"/>
  <c r="K25" i="23"/>
  <c r="J25" i="23"/>
  <c r="I25" i="23"/>
  <c r="H25" i="23"/>
  <c r="G25" i="23"/>
  <c r="F25" i="23"/>
  <c r="E25" i="23"/>
  <c r="D25" i="23"/>
  <c r="L24" i="23"/>
  <c r="K24" i="23"/>
  <c r="J24" i="23"/>
  <c r="I24" i="23"/>
  <c r="H24" i="23"/>
  <c r="G24" i="23"/>
  <c r="F24" i="23"/>
  <c r="E24" i="23"/>
  <c r="D24" i="23"/>
  <c r="L23" i="23"/>
  <c r="K23" i="23"/>
  <c r="J23" i="23"/>
  <c r="I23" i="23"/>
  <c r="H23" i="23"/>
  <c r="G23" i="23"/>
  <c r="F23" i="23"/>
  <c r="E23" i="23"/>
  <c r="D23" i="23"/>
  <c r="L22" i="23"/>
  <c r="K22" i="23"/>
  <c r="J22" i="23"/>
  <c r="I22" i="23"/>
  <c r="H22" i="23"/>
  <c r="G22" i="23"/>
  <c r="F22" i="23"/>
  <c r="E22" i="23"/>
  <c r="L21" i="23"/>
  <c r="K21" i="23"/>
  <c r="J21" i="23"/>
  <c r="I21" i="23"/>
  <c r="H21" i="23"/>
  <c r="G21" i="23"/>
  <c r="F21" i="23"/>
  <c r="E21" i="23"/>
  <c r="D21" i="23"/>
  <c r="N20" i="23"/>
  <c r="M20" i="23"/>
  <c r="L20" i="23"/>
  <c r="K20" i="23"/>
  <c r="J20" i="23"/>
  <c r="I20" i="23"/>
  <c r="H20" i="23"/>
  <c r="G20" i="23"/>
  <c r="F20" i="23"/>
  <c r="E20" i="23"/>
  <c r="D20" i="23"/>
  <c r="L18" i="23"/>
  <c r="K18" i="23"/>
  <c r="J18" i="23"/>
  <c r="I18" i="23"/>
  <c r="H18" i="23"/>
  <c r="G18" i="23"/>
  <c r="F18" i="23"/>
  <c r="E18" i="23"/>
  <c r="D18" i="23"/>
  <c r="L17" i="23"/>
  <c r="K17" i="23"/>
  <c r="J17" i="23"/>
  <c r="I17" i="23"/>
  <c r="H17" i="23"/>
  <c r="G17" i="23"/>
  <c r="F17" i="23"/>
  <c r="E17" i="23"/>
  <c r="D17" i="23"/>
  <c r="L16" i="23"/>
  <c r="K16" i="23"/>
  <c r="J16" i="23"/>
  <c r="I16" i="23"/>
  <c r="H16" i="23"/>
  <c r="G16" i="23"/>
  <c r="F16" i="23"/>
  <c r="E16" i="23"/>
  <c r="D16" i="23"/>
  <c r="L15" i="23"/>
  <c r="K15" i="23"/>
  <c r="J15" i="23"/>
  <c r="I15" i="23"/>
  <c r="H15" i="23"/>
  <c r="G15" i="23"/>
  <c r="F15" i="23"/>
  <c r="E15" i="23"/>
  <c r="L14" i="23"/>
  <c r="K14" i="23"/>
  <c r="J14" i="23"/>
  <c r="I14" i="23"/>
  <c r="H14" i="23"/>
  <c r="G14" i="23"/>
  <c r="F14" i="23"/>
  <c r="E14" i="23"/>
  <c r="L13" i="23"/>
  <c r="K13" i="23"/>
  <c r="J13" i="23"/>
  <c r="I13" i="23"/>
  <c r="H13" i="23"/>
  <c r="G13" i="23"/>
  <c r="F13" i="23"/>
  <c r="E13" i="23"/>
  <c r="L12" i="23"/>
  <c r="K12" i="23"/>
  <c r="J12" i="23"/>
  <c r="I12" i="23"/>
  <c r="H12" i="23"/>
  <c r="F12" i="23"/>
  <c r="E12" i="23"/>
  <c r="L11" i="23"/>
  <c r="K11" i="23"/>
  <c r="J11" i="23"/>
  <c r="I11" i="23"/>
  <c r="H11" i="23"/>
  <c r="G11" i="23"/>
  <c r="F11" i="23"/>
  <c r="E11" i="23"/>
  <c r="D11" i="23"/>
  <c r="L10" i="23"/>
  <c r="K10" i="23"/>
  <c r="J10" i="23"/>
  <c r="I10" i="23"/>
  <c r="H10" i="23"/>
  <c r="G10" i="23"/>
  <c r="F10" i="23"/>
  <c r="E10" i="23"/>
  <c r="D10" i="23"/>
  <c r="L9" i="23"/>
  <c r="K9" i="23"/>
  <c r="J9" i="23"/>
  <c r="I9" i="23"/>
  <c r="H9" i="23"/>
  <c r="G9" i="23"/>
  <c r="F9" i="23"/>
  <c r="E9" i="23"/>
  <c r="L8" i="23"/>
  <c r="K8" i="23"/>
  <c r="J8" i="23"/>
  <c r="I8" i="23"/>
  <c r="H8" i="23"/>
  <c r="G8" i="23"/>
  <c r="F8" i="23"/>
  <c r="E8" i="23"/>
  <c r="D8" i="23"/>
  <c r="L7" i="23"/>
  <c r="K7" i="23"/>
  <c r="J7" i="23"/>
  <c r="I7" i="23"/>
  <c r="H7" i="23"/>
  <c r="G7" i="23"/>
  <c r="F7" i="23"/>
  <c r="E7" i="23"/>
  <c r="D7" i="23"/>
  <c r="C34" i="23"/>
  <c r="C33" i="23"/>
  <c r="C32" i="23"/>
  <c r="C30" i="23"/>
  <c r="C29" i="23"/>
  <c r="C28" i="23"/>
  <c r="C27" i="23"/>
  <c r="C25" i="23"/>
  <c r="C24" i="23"/>
  <c r="C23" i="23"/>
  <c r="C21" i="23"/>
  <c r="C20" i="23"/>
  <c r="C18" i="23"/>
  <c r="C17" i="23"/>
  <c r="C16" i="23"/>
  <c r="C11" i="23"/>
  <c r="C10" i="23"/>
  <c r="C8" i="23"/>
  <c r="C7" i="23"/>
  <c r="L31" i="15"/>
  <c r="K31" i="15"/>
  <c r="J31" i="15"/>
  <c r="J31" i="23" s="1"/>
  <c r="I31" i="15"/>
  <c r="I31" i="23" s="1"/>
  <c r="H31" i="15"/>
  <c r="H31" i="23" s="1"/>
  <c r="G31" i="15"/>
  <c r="G31" i="23" s="1"/>
  <c r="F31" i="15"/>
  <c r="F31" i="23" s="1"/>
  <c r="E31" i="15"/>
  <c r="E31" i="23" s="1"/>
  <c r="C26" i="15"/>
  <c r="C26" i="23" s="1"/>
  <c r="C22" i="15"/>
  <c r="C31" i="15" s="1"/>
  <c r="C31" i="23" s="1"/>
  <c r="C15" i="15"/>
  <c r="C15" i="23" s="1"/>
  <c r="C14" i="15"/>
  <c r="C14" i="23" s="1"/>
  <c r="C13" i="15"/>
  <c r="C13" i="23" s="1"/>
  <c r="C12" i="15"/>
  <c r="C12" i="23" s="1"/>
  <c r="C9" i="15"/>
  <c r="L19" i="15"/>
  <c r="L19" i="23" s="1"/>
  <c r="K19" i="15"/>
  <c r="K19" i="23" s="1"/>
  <c r="J19" i="15"/>
  <c r="J19" i="23" s="1"/>
  <c r="I19" i="15"/>
  <c r="I19" i="23" s="1"/>
  <c r="H19" i="15"/>
  <c r="H19" i="23" s="1"/>
  <c r="F19" i="15"/>
  <c r="F19" i="23" s="1"/>
  <c r="E19" i="15"/>
  <c r="E19" i="23" s="1"/>
  <c r="G12" i="15"/>
  <c r="G12" i="23" s="1"/>
  <c r="K35" i="15" l="1"/>
  <c r="K35" i="23" s="1"/>
  <c r="C22" i="23"/>
  <c r="K31" i="23"/>
  <c r="L35" i="15"/>
  <c r="L35" i="23" s="1"/>
  <c r="C19" i="15"/>
  <c r="C19" i="23" s="1"/>
  <c r="H35" i="15"/>
  <c r="H35" i="23" s="1"/>
  <c r="O20" i="23"/>
  <c r="E35" i="15"/>
  <c r="E35" i="23" s="1"/>
  <c r="F35" i="15"/>
  <c r="F35" i="23" s="1"/>
  <c r="L31" i="23"/>
  <c r="C9" i="23"/>
  <c r="I35" i="15"/>
  <c r="I35" i="23" s="1"/>
  <c r="J35" i="15"/>
  <c r="J35" i="23" s="1"/>
  <c r="G19" i="15"/>
  <c r="G19" i="23" s="1"/>
  <c r="G64" i="22"/>
  <c r="G60" i="22"/>
  <c r="J62" i="14"/>
  <c r="H62" i="14" s="1"/>
  <c r="H60" i="14"/>
  <c r="H59" i="14"/>
  <c r="H58" i="14"/>
  <c r="H57" i="14"/>
  <c r="H56" i="14"/>
  <c r="H54" i="14"/>
  <c r="H49" i="14"/>
  <c r="H48" i="14"/>
  <c r="H47" i="14"/>
  <c r="H43" i="14"/>
  <c r="G59" i="14"/>
  <c r="G59" i="22" s="1"/>
  <c r="G56" i="14"/>
  <c r="G56" i="22" s="1"/>
  <c r="G49" i="14"/>
  <c r="G49" i="22" s="1"/>
  <c r="G47" i="14"/>
  <c r="G47" i="22" s="1"/>
  <c r="H70" i="14"/>
  <c r="J259" i="17"/>
  <c r="I259" i="17"/>
  <c r="H259" i="17"/>
  <c r="G259" i="17"/>
  <c r="F259" i="17"/>
  <c r="E259" i="17"/>
  <c r="D259" i="17"/>
  <c r="C259" i="17"/>
  <c r="N258" i="17"/>
  <c r="M258" i="17"/>
  <c r="L258" i="17"/>
  <c r="K258" i="17"/>
  <c r="J258" i="17"/>
  <c r="I258" i="17"/>
  <c r="H258" i="17"/>
  <c r="G258" i="17"/>
  <c r="F258" i="17"/>
  <c r="E258" i="17"/>
  <c r="D258" i="17"/>
  <c r="C258" i="17"/>
  <c r="N254" i="17"/>
  <c r="M254" i="17"/>
  <c r="L254" i="17"/>
  <c r="K254" i="17"/>
  <c r="J254" i="17"/>
  <c r="I254" i="17"/>
  <c r="H254" i="17"/>
  <c r="G254" i="17"/>
  <c r="F254" i="17"/>
  <c r="E254" i="17"/>
  <c r="D254" i="17"/>
  <c r="C254" i="17"/>
  <c r="O252" i="17"/>
  <c r="N252" i="17"/>
  <c r="M252" i="17"/>
  <c r="L252" i="17"/>
  <c r="K252" i="17"/>
  <c r="J252" i="17"/>
  <c r="I252" i="17"/>
  <c r="H252" i="17"/>
  <c r="G252" i="17"/>
  <c r="F252" i="17"/>
  <c r="E252" i="17"/>
  <c r="D252" i="17"/>
  <c r="C252" i="17"/>
  <c r="M251" i="17"/>
  <c r="K251" i="17"/>
  <c r="G251" i="17"/>
  <c r="F251" i="17"/>
  <c r="E251" i="17"/>
  <c r="D251" i="17"/>
  <c r="C251" i="17"/>
  <c r="G247" i="17"/>
  <c r="E247" i="17"/>
  <c r="O242" i="17"/>
  <c r="N242" i="17"/>
  <c r="M239" i="17"/>
  <c r="M240" i="17" s="1"/>
  <c r="K239" i="17"/>
  <c r="K240" i="17" s="1"/>
  <c r="F239" i="17"/>
  <c r="F240" i="17" s="1"/>
  <c r="E239" i="17"/>
  <c r="E240" i="17" s="1"/>
  <c r="C239" i="17"/>
  <c r="C240" i="17" s="1"/>
  <c r="O238" i="17"/>
  <c r="O237" i="17"/>
  <c r="O236" i="17"/>
  <c r="O235" i="17"/>
  <c r="J234" i="17"/>
  <c r="H234" i="17"/>
  <c r="G233" i="17"/>
  <c r="G239" i="17" s="1"/>
  <c r="G240" i="17" s="1"/>
  <c r="D232" i="17"/>
  <c r="O232" i="17" s="1"/>
  <c r="O231" i="17"/>
  <c r="O230" i="17"/>
  <c r="O229" i="17"/>
  <c r="O228" i="17"/>
  <c r="O227" i="17"/>
  <c r="O226" i="17"/>
  <c r="O225" i="17"/>
  <c r="O224" i="17"/>
  <c r="O223" i="17"/>
  <c r="I222" i="17"/>
  <c r="I239" i="17" s="1"/>
  <c r="I240" i="17" s="1"/>
  <c r="H222" i="17"/>
  <c r="O221" i="17"/>
  <c r="O220" i="17"/>
  <c r="O219" i="17"/>
  <c r="O218" i="17"/>
  <c r="H217" i="17"/>
  <c r="H83" i="17" s="1"/>
  <c r="O216" i="17"/>
  <c r="O215" i="17"/>
  <c r="N214" i="17"/>
  <c r="N251" i="17" s="1"/>
  <c r="O213" i="17"/>
  <c r="O212" i="17"/>
  <c r="L211" i="17"/>
  <c r="L251" i="17" s="1"/>
  <c r="J211" i="17"/>
  <c r="J251" i="17" s="1"/>
  <c r="O210" i="17"/>
  <c r="N209" i="17"/>
  <c r="N239" i="17" s="1"/>
  <c r="N240" i="17" s="1"/>
  <c r="O208" i="17"/>
  <c r="O207" i="17"/>
  <c r="O206" i="17"/>
  <c r="M204" i="17"/>
  <c r="L204" i="17"/>
  <c r="K204" i="17"/>
  <c r="J204" i="17"/>
  <c r="J205" i="17" s="1"/>
  <c r="G204" i="17"/>
  <c r="F204" i="17"/>
  <c r="F241" i="17" s="1"/>
  <c r="E204" i="17"/>
  <c r="D204" i="17"/>
  <c r="C204" i="17"/>
  <c r="O203" i="17"/>
  <c r="H202" i="17"/>
  <c r="O202" i="17" s="1"/>
  <c r="O201" i="17"/>
  <c r="I200" i="17"/>
  <c r="O200" i="17" s="1"/>
  <c r="O199" i="17"/>
  <c r="O198" i="17"/>
  <c r="N197" i="17"/>
  <c r="O197" i="17" s="1"/>
  <c r="O196" i="17"/>
  <c r="N195" i="17"/>
  <c r="O195" i="17" s="1"/>
  <c r="N188" i="17"/>
  <c r="M188" i="17"/>
  <c r="M247" i="17" s="1"/>
  <c r="L188" i="17"/>
  <c r="L247" i="17" s="1"/>
  <c r="K188" i="17"/>
  <c r="K247" i="17" s="1"/>
  <c r="J188" i="17"/>
  <c r="J247" i="17" s="1"/>
  <c r="I188" i="17"/>
  <c r="I247" i="17" s="1"/>
  <c r="H188" i="17"/>
  <c r="G188" i="17"/>
  <c r="F188" i="17"/>
  <c r="F247" i="17" s="1"/>
  <c r="E188" i="17"/>
  <c r="D188" i="17"/>
  <c r="D247" i="17" s="1"/>
  <c r="C188" i="17"/>
  <c r="C247" i="17" s="1"/>
  <c r="N184" i="17"/>
  <c r="M184" i="17"/>
  <c r="L184" i="17"/>
  <c r="K184" i="17"/>
  <c r="J184" i="17"/>
  <c r="I184" i="17"/>
  <c r="F184" i="17"/>
  <c r="E184" i="17"/>
  <c r="D184" i="17"/>
  <c r="C184" i="17"/>
  <c r="O183" i="17"/>
  <c r="O182" i="17"/>
  <c r="O181" i="17"/>
  <c r="O180" i="17"/>
  <c r="O179" i="17"/>
  <c r="O178" i="17"/>
  <c r="O177" i="17"/>
  <c r="H176" i="17"/>
  <c r="H184" i="17" s="1"/>
  <c r="G176" i="17"/>
  <c r="G184" i="17" s="1"/>
  <c r="O175" i="17"/>
  <c r="O174" i="17"/>
  <c r="O173" i="17"/>
  <c r="O172" i="17"/>
  <c r="O171" i="17"/>
  <c r="O170" i="17"/>
  <c r="O169" i="17"/>
  <c r="M167" i="17"/>
  <c r="M168" i="17" s="1"/>
  <c r="L167" i="17"/>
  <c r="J167" i="17"/>
  <c r="I167" i="17"/>
  <c r="G167" i="17"/>
  <c r="G168" i="17" s="1"/>
  <c r="D167" i="17"/>
  <c r="O166" i="17"/>
  <c r="O165" i="17"/>
  <c r="O164" i="17"/>
  <c r="O163" i="17"/>
  <c r="J55" i="14" s="1"/>
  <c r="H55" i="14" s="1"/>
  <c r="O162" i="17"/>
  <c r="O161" i="17"/>
  <c r="O160" i="17"/>
  <c r="O159" i="17"/>
  <c r="O158" i="17"/>
  <c r="J45" i="14" s="1"/>
  <c r="H45" i="14" s="1"/>
  <c r="O157" i="17"/>
  <c r="O156" i="17"/>
  <c r="O155" i="17"/>
  <c r="O154" i="17"/>
  <c r="O153" i="17"/>
  <c r="O152" i="17"/>
  <c r="O151" i="17"/>
  <c r="O150" i="17"/>
  <c r="O149" i="17"/>
  <c r="O148" i="17"/>
  <c r="N147" i="17"/>
  <c r="N51" i="17" s="1"/>
  <c r="F147" i="17"/>
  <c r="F167" i="17" s="1"/>
  <c r="O146" i="17"/>
  <c r="O145" i="17"/>
  <c r="C144" i="17"/>
  <c r="O144" i="17" s="1"/>
  <c r="O143" i="17"/>
  <c r="H142" i="17"/>
  <c r="H167" i="17" s="1"/>
  <c r="E142" i="17"/>
  <c r="E167" i="17" s="1"/>
  <c r="C142" i="17"/>
  <c r="O141" i="17"/>
  <c r="N140" i="17"/>
  <c r="N29" i="17" s="1"/>
  <c r="O139" i="17"/>
  <c r="J53" i="14" s="1"/>
  <c r="H53" i="14" s="1"/>
  <c r="O138" i="17"/>
  <c r="K137" i="17"/>
  <c r="K167" i="17" s="1"/>
  <c r="O136" i="17"/>
  <c r="J42" i="14" s="1"/>
  <c r="H42" i="14" s="1"/>
  <c r="O135" i="17"/>
  <c r="J41" i="14" s="1"/>
  <c r="H41" i="14" s="1"/>
  <c r="H80" i="14" s="1"/>
  <c r="N132" i="17"/>
  <c r="N133" i="17" s="1"/>
  <c r="M132" i="17"/>
  <c r="M133" i="17" s="1"/>
  <c r="L132" i="17"/>
  <c r="L133" i="17" s="1"/>
  <c r="J132" i="17"/>
  <c r="J133" i="17" s="1"/>
  <c r="I132" i="17"/>
  <c r="I133" i="17" s="1"/>
  <c r="G132" i="17"/>
  <c r="G133" i="17" s="1"/>
  <c r="F132" i="17"/>
  <c r="F133" i="17" s="1"/>
  <c r="E132" i="17"/>
  <c r="E133" i="17" s="1"/>
  <c r="D132" i="17"/>
  <c r="D133" i="17" s="1"/>
  <c r="O130" i="17"/>
  <c r="O129" i="17"/>
  <c r="O128" i="17"/>
  <c r="O127" i="17"/>
  <c r="O126" i="17"/>
  <c r="O125" i="17"/>
  <c r="O124" i="17"/>
  <c r="C124" i="17"/>
  <c r="O123" i="17"/>
  <c r="S122" i="17"/>
  <c r="O122" i="17"/>
  <c r="O121" i="17"/>
  <c r="K120" i="17"/>
  <c r="K132" i="17" s="1"/>
  <c r="K133" i="17" s="1"/>
  <c r="C120" i="17"/>
  <c r="C36" i="17" s="1"/>
  <c r="S119" i="17"/>
  <c r="O119" i="17"/>
  <c r="R118" i="17"/>
  <c r="O118" i="17"/>
  <c r="O117" i="17"/>
  <c r="O116" i="17"/>
  <c r="H115" i="17"/>
  <c r="C115" i="17"/>
  <c r="O114" i="17"/>
  <c r="S113" i="17"/>
  <c r="R114" i="17" s="1"/>
  <c r="O113" i="17"/>
  <c r="O112" i="17"/>
  <c r="O111" i="17"/>
  <c r="O110" i="17"/>
  <c r="O109" i="17"/>
  <c r="O108" i="17"/>
  <c r="Y103" i="17"/>
  <c r="V103" i="17"/>
  <c r="S103" i="17"/>
  <c r="Y102" i="17"/>
  <c r="V102" i="17"/>
  <c r="Q102" i="17"/>
  <c r="R101" i="17"/>
  <c r="S101" i="17" s="1"/>
  <c r="S98" i="17"/>
  <c r="R98" i="17"/>
  <c r="S97" i="17"/>
  <c r="R97" i="17"/>
  <c r="T97" i="17" s="1"/>
  <c r="N97" i="17"/>
  <c r="M97" i="17"/>
  <c r="L97" i="17"/>
  <c r="R100" i="17" s="1"/>
  <c r="K97" i="17"/>
  <c r="S96" i="17"/>
  <c r="R96" i="17"/>
  <c r="T96" i="17" s="1"/>
  <c r="M96" i="17"/>
  <c r="O96" i="17" s="1"/>
  <c r="S95" i="17"/>
  <c r="R95" i="17"/>
  <c r="S94" i="17"/>
  <c r="R94" i="17"/>
  <c r="T94" i="17" s="1"/>
  <c r="O94" i="17"/>
  <c r="S93" i="17"/>
  <c r="R93" i="17"/>
  <c r="N93" i="17"/>
  <c r="M93" i="17"/>
  <c r="L93" i="17"/>
  <c r="K93" i="17"/>
  <c r="J93" i="17"/>
  <c r="I93" i="17"/>
  <c r="H93" i="17"/>
  <c r="G93" i="17"/>
  <c r="F93" i="17"/>
  <c r="F90" i="17" s="1"/>
  <c r="E93" i="17"/>
  <c r="D93" i="17"/>
  <c r="D90" i="17" s="1"/>
  <c r="C93" i="17"/>
  <c r="C90" i="17" s="1"/>
  <c r="S92" i="17"/>
  <c r="R92" i="17"/>
  <c r="T92" i="17" s="1"/>
  <c r="O92" i="17"/>
  <c r="S91" i="17"/>
  <c r="R91" i="17"/>
  <c r="N91" i="17"/>
  <c r="M91" i="17"/>
  <c r="M90" i="17" s="1"/>
  <c r="L91" i="17"/>
  <c r="K91" i="17"/>
  <c r="K90" i="17" s="1"/>
  <c r="J91" i="17"/>
  <c r="I91" i="17"/>
  <c r="H91" i="17"/>
  <c r="G91" i="17"/>
  <c r="S90" i="17"/>
  <c r="R90" i="17"/>
  <c r="E90" i="17"/>
  <c r="S89" i="17"/>
  <c r="R89" i="17"/>
  <c r="S88" i="17"/>
  <c r="R88" i="17"/>
  <c r="T88" i="17" s="1"/>
  <c r="O88" i="17"/>
  <c r="S87" i="17"/>
  <c r="R87" i="17"/>
  <c r="T87" i="17" s="1"/>
  <c r="O87" i="17"/>
  <c r="S86" i="17"/>
  <c r="R86" i="17"/>
  <c r="N86" i="17"/>
  <c r="M86" i="17"/>
  <c r="L86" i="17"/>
  <c r="K86" i="17"/>
  <c r="J86" i="17"/>
  <c r="I86" i="17"/>
  <c r="H86" i="17"/>
  <c r="G86" i="17"/>
  <c r="F86" i="17"/>
  <c r="E86" i="17"/>
  <c r="D86" i="17"/>
  <c r="C86" i="17"/>
  <c r="S85" i="17"/>
  <c r="R85" i="17"/>
  <c r="M85" i="17"/>
  <c r="L85" i="17"/>
  <c r="K85" i="17"/>
  <c r="J85" i="17"/>
  <c r="I85" i="17"/>
  <c r="H85" i="17"/>
  <c r="G85" i="17"/>
  <c r="F85" i="17"/>
  <c r="E85" i="17"/>
  <c r="D85" i="17"/>
  <c r="C85" i="17"/>
  <c r="S84" i="17"/>
  <c r="R84" i="17"/>
  <c r="T84" i="17" s="1"/>
  <c r="N84" i="17"/>
  <c r="O84" i="17" s="1"/>
  <c r="S83" i="17"/>
  <c r="R83" i="17"/>
  <c r="N83" i="17"/>
  <c r="M83" i="17"/>
  <c r="L83" i="17"/>
  <c r="K83" i="17"/>
  <c r="J83" i="17"/>
  <c r="I83" i="17"/>
  <c r="G83" i="17"/>
  <c r="F83" i="17"/>
  <c r="E83" i="17"/>
  <c r="D83" i="17"/>
  <c r="C83" i="17"/>
  <c r="S82" i="17"/>
  <c r="R82" i="17"/>
  <c r="M82" i="17"/>
  <c r="L82" i="17"/>
  <c r="K82" i="17"/>
  <c r="J82" i="17"/>
  <c r="I82" i="17"/>
  <c r="H82" i="17"/>
  <c r="G82" i="17"/>
  <c r="F82" i="17"/>
  <c r="E82" i="17"/>
  <c r="D82" i="17"/>
  <c r="C82" i="17"/>
  <c r="S81" i="17"/>
  <c r="R81" i="17"/>
  <c r="T81" i="17" s="1"/>
  <c r="O81" i="17"/>
  <c r="S80" i="17"/>
  <c r="R80" i="17"/>
  <c r="S79" i="17"/>
  <c r="R79" i="17"/>
  <c r="N79" i="17"/>
  <c r="M79" i="17"/>
  <c r="L79" i="17"/>
  <c r="K79" i="17"/>
  <c r="J79" i="17"/>
  <c r="I79" i="17"/>
  <c r="H79" i="17"/>
  <c r="G79" i="17"/>
  <c r="F79" i="17"/>
  <c r="E79" i="17"/>
  <c r="D79" i="17"/>
  <c r="C79" i="17"/>
  <c r="S78" i="17"/>
  <c r="R78" i="17"/>
  <c r="S77" i="17"/>
  <c r="R77" i="17"/>
  <c r="S76" i="17"/>
  <c r="R76" i="17"/>
  <c r="T76" i="17" s="1"/>
  <c r="O76" i="17"/>
  <c r="S75" i="17"/>
  <c r="R75" i="17"/>
  <c r="T75" i="17" s="1"/>
  <c r="O75" i="17"/>
  <c r="S74" i="17"/>
  <c r="R74" i="17"/>
  <c r="T74" i="17" s="1"/>
  <c r="O74" i="17"/>
  <c r="S73" i="17"/>
  <c r="R73" i="17"/>
  <c r="N73" i="17"/>
  <c r="M73" i="17"/>
  <c r="L73" i="17"/>
  <c r="K73" i="17"/>
  <c r="J73" i="17"/>
  <c r="I73" i="17"/>
  <c r="H73" i="17"/>
  <c r="G73" i="17"/>
  <c r="F73" i="17"/>
  <c r="E73" i="17"/>
  <c r="D73" i="17"/>
  <c r="C73" i="17"/>
  <c r="S72" i="17"/>
  <c r="R72" i="17"/>
  <c r="T72" i="17" s="1"/>
  <c r="O72" i="17"/>
  <c r="S71" i="17"/>
  <c r="R71" i="17"/>
  <c r="T71" i="17" s="1"/>
  <c r="O71" i="17"/>
  <c r="S70" i="17"/>
  <c r="R70" i="17"/>
  <c r="N70" i="17"/>
  <c r="M70" i="17"/>
  <c r="L70" i="17"/>
  <c r="K70" i="17"/>
  <c r="J70" i="17"/>
  <c r="I70" i="17"/>
  <c r="H70" i="17"/>
  <c r="G70" i="17"/>
  <c r="F70" i="17"/>
  <c r="E70" i="17"/>
  <c r="D70" i="17"/>
  <c r="C70" i="17"/>
  <c r="S69" i="17"/>
  <c r="R69" i="17"/>
  <c r="N69" i="17"/>
  <c r="M69" i="17"/>
  <c r="L69" i="17"/>
  <c r="K69" i="17"/>
  <c r="J69" i="17"/>
  <c r="I69" i="17"/>
  <c r="H69" i="17"/>
  <c r="G69" i="17"/>
  <c r="F69" i="17"/>
  <c r="E69" i="17"/>
  <c r="D69" i="17"/>
  <c r="C69" i="17"/>
  <c r="S68" i="17"/>
  <c r="R68" i="17"/>
  <c r="M68" i="17"/>
  <c r="L68" i="17"/>
  <c r="K68" i="17"/>
  <c r="J68" i="17"/>
  <c r="I68" i="17"/>
  <c r="H68" i="17"/>
  <c r="G68" i="17"/>
  <c r="F68" i="17"/>
  <c r="E68" i="17"/>
  <c r="D68" i="17"/>
  <c r="C68" i="17"/>
  <c r="S67" i="17"/>
  <c r="R67" i="17"/>
  <c r="S66" i="17"/>
  <c r="R66" i="17"/>
  <c r="S65" i="17"/>
  <c r="R65" i="17"/>
  <c r="T65" i="17" s="1"/>
  <c r="O65" i="17"/>
  <c r="S64" i="17"/>
  <c r="R64" i="17"/>
  <c r="T64" i="17" s="1"/>
  <c r="O64" i="17"/>
  <c r="S63" i="17"/>
  <c r="R63" i="17"/>
  <c r="T63" i="17" s="1"/>
  <c r="O63" i="17"/>
  <c r="S62" i="17"/>
  <c r="R62" i="17"/>
  <c r="N62" i="17"/>
  <c r="M62" i="17"/>
  <c r="L62" i="17"/>
  <c r="L77" i="17" s="1"/>
  <c r="K62" i="17"/>
  <c r="K77" i="17" s="1"/>
  <c r="J62" i="17"/>
  <c r="I62" i="17"/>
  <c r="H62" i="17"/>
  <c r="G62" i="17"/>
  <c r="F62" i="17"/>
  <c r="E62" i="17"/>
  <c r="D62" i="17"/>
  <c r="D77" i="17" s="1"/>
  <c r="C62" i="17"/>
  <c r="C77" i="17" s="1"/>
  <c r="S61" i="17"/>
  <c r="R61" i="17"/>
  <c r="T61" i="17" s="1"/>
  <c r="O61" i="17"/>
  <c r="S60" i="17"/>
  <c r="R60" i="17"/>
  <c r="T60" i="17" s="1"/>
  <c r="O60" i="17"/>
  <c r="S59" i="17"/>
  <c r="R59" i="17"/>
  <c r="N59" i="17"/>
  <c r="M59" i="17"/>
  <c r="L59" i="17"/>
  <c r="K59" i="17"/>
  <c r="J59" i="17"/>
  <c r="I59" i="17"/>
  <c r="H59" i="17"/>
  <c r="G59" i="17"/>
  <c r="F59" i="17"/>
  <c r="E59" i="17"/>
  <c r="D59" i="17"/>
  <c r="C59" i="17"/>
  <c r="S58" i="17"/>
  <c r="R58" i="17"/>
  <c r="T58" i="17" s="1"/>
  <c r="O58" i="17"/>
  <c r="S57" i="17"/>
  <c r="R57" i="17"/>
  <c r="T57" i="17" s="1"/>
  <c r="O57" i="17"/>
  <c r="S56" i="17"/>
  <c r="R56" i="17"/>
  <c r="N56" i="17"/>
  <c r="M56" i="17"/>
  <c r="L56" i="17"/>
  <c r="K56" i="17"/>
  <c r="J56" i="17"/>
  <c r="I56" i="17"/>
  <c r="H56" i="17"/>
  <c r="G56" i="17"/>
  <c r="F56" i="17"/>
  <c r="E56" i="17"/>
  <c r="D56" i="17"/>
  <c r="C56" i="17"/>
  <c r="S55" i="17"/>
  <c r="R55" i="17"/>
  <c r="T55" i="17" s="1"/>
  <c r="O55" i="17"/>
  <c r="S54" i="17"/>
  <c r="R54" i="17"/>
  <c r="T54" i="17" s="1"/>
  <c r="O54" i="17"/>
  <c r="S53" i="17"/>
  <c r="R53" i="17"/>
  <c r="N53" i="17"/>
  <c r="M53" i="17"/>
  <c r="L53" i="17"/>
  <c r="K53" i="17"/>
  <c r="J53" i="17"/>
  <c r="I53" i="17"/>
  <c r="H53" i="17"/>
  <c r="G53" i="17"/>
  <c r="F53" i="17"/>
  <c r="E53" i="17"/>
  <c r="D53" i="17"/>
  <c r="C53" i="17"/>
  <c r="S52" i="17"/>
  <c r="R52" i="17"/>
  <c r="N52" i="17"/>
  <c r="M52" i="17"/>
  <c r="L52" i="17"/>
  <c r="K52" i="17"/>
  <c r="J52" i="17"/>
  <c r="I52" i="17"/>
  <c r="H52" i="17"/>
  <c r="G52" i="17"/>
  <c r="F52" i="17"/>
  <c r="E52" i="17"/>
  <c r="D52" i="17"/>
  <c r="C52" i="17"/>
  <c r="S51" i="17"/>
  <c r="R51" i="17"/>
  <c r="M51" i="17"/>
  <c r="L51" i="17"/>
  <c r="K51" i="17"/>
  <c r="J51" i="17"/>
  <c r="I51" i="17"/>
  <c r="H51" i="17"/>
  <c r="G51" i="17"/>
  <c r="E51" i="17"/>
  <c r="D51" i="17"/>
  <c r="C51" i="17"/>
  <c r="S50" i="17"/>
  <c r="U50" i="17" s="1"/>
  <c r="R50" i="17"/>
  <c r="T50" i="17" s="1"/>
  <c r="O50" i="17"/>
  <c r="S49" i="17"/>
  <c r="R49" i="17"/>
  <c r="T49" i="17" s="1"/>
  <c r="O49" i="17"/>
  <c r="S48" i="17"/>
  <c r="R48" i="17"/>
  <c r="N48" i="17"/>
  <c r="M48" i="17"/>
  <c r="L48" i="17"/>
  <c r="K48" i="17"/>
  <c r="J48" i="17"/>
  <c r="I48" i="17"/>
  <c r="H48" i="17"/>
  <c r="G48" i="17"/>
  <c r="F48" i="17"/>
  <c r="E48" i="17"/>
  <c r="D48" i="17"/>
  <c r="C48" i="17"/>
  <c r="S47" i="17"/>
  <c r="R47" i="17"/>
  <c r="N47" i="17"/>
  <c r="M47" i="17"/>
  <c r="L47" i="17"/>
  <c r="K47" i="17"/>
  <c r="J47" i="17"/>
  <c r="I47" i="17"/>
  <c r="H47" i="17"/>
  <c r="G47" i="17"/>
  <c r="F47" i="17"/>
  <c r="E47" i="17"/>
  <c r="D47" i="17"/>
  <c r="C47" i="17"/>
  <c r="S46" i="17"/>
  <c r="R46" i="17"/>
  <c r="N46" i="17"/>
  <c r="M46" i="17"/>
  <c r="L46" i="17"/>
  <c r="K46" i="17"/>
  <c r="J46" i="17"/>
  <c r="I46" i="17"/>
  <c r="H46" i="17"/>
  <c r="G46" i="17"/>
  <c r="F46" i="17"/>
  <c r="E46" i="17"/>
  <c r="D46" i="17"/>
  <c r="C46" i="17"/>
  <c r="S45" i="17"/>
  <c r="R45" i="17"/>
  <c r="N45" i="17"/>
  <c r="M45" i="17"/>
  <c r="L45" i="17"/>
  <c r="K45" i="17"/>
  <c r="J45" i="17"/>
  <c r="I45" i="17"/>
  <c r="H45" i="17"/>
  <c r="G45" i="17"/>
  <c r="F45" i="17"/>
  <c r="E45" i="17"/>
  <c r="D45" i="17"/>
  <c r="C45" i="17"/>
  <c r="S44" i="17"/>
  <c r="R44" i="17"/>
  <c r="T44" i="17" s="1"/>
  <c r="O44" i="17"/>
  <c r="S43" i="17"/>
  <c r="R43" i="17"/>
  <c r="T43" i="17" s="1"/>
  <c r="O43" i="17"/>
  <c r="S42" i="17"/>
  <c r="R42" i="17"/>
  <c r="N42" i="17"/>
  <c r="M42" i="17"/>
  <c r="L42" i="17"/>
  <c r="J42" i="17"/>
  <c r="I42" i="17"/>
  <c r="H42" i="17"/>
  <c r="G42" i="17"/>
  <c r="F42" i="17"/>
  <c r="E42" i="17"/>
  <c r="D42" i="17"/>
  <c r="C42" i="17"/>
  <c r="S41" i="17"/>
  <c r="R41" i="17"/>
  <c r="N41" i="17"/>
  <c r="M41" i="17"/>
  <c r="L41" i="17"/>
  <c r="K41" i="17"/>
  <c r="J41" i="17"/>
  <c r="I41" i="17"/>
  <c r="H41" i="17"/>
  <c r="G41" i="17"/>
  <c r="F41" i="17"/>
  <c r="E41" i="17"/>
  <c r="D41" i="17"/>
  <c r="C41" i="17"/>
  <c r="S40" i="17"/>
  <c r="R40" i="17"/>
  <c r="N40" i="17"/>
  <c r="M40" i="17"/>
  <c r="L40" i="17"/>
  <c r="K40" i="17"/>
  <c r="J40" i="17"/>
  <c r="I40" i="17"/>
  <c r="G40" i="17"/>
  <c r="F40" i="17"/>
  <c r="E40" i="17"/>
  <c r="D40" i="17"/>
  <c r="C40" i="17"/>
  <c r="S39" i="17"/>
  <c r="R39" i="17"/>
  <c r="N39" i="17"/>
  <c r="M39" i="17"/>
  <c r="L39" i="17"/>
  <c r="K39" i="17"/>
  <c r="J39" i="17"/>
  <c r="I39" i="17"/>
  <c r="H39" i="17"/>
  <c r="G39" i="17"/>
  <c r="F39" i="17"/>
  <c r="E39" i="17"/>
  <c r="D39" i="17"/>
  <c r="C39" i="17"/>
  <c r="S38" i="17"/>
  <c r="R38" i="17"/>
  <c r="N38" i="17"/>
  <c r="M38" i="17"/>
  <c r="L38" i="17"/>
  <c r="K38" i="17"/>
  <c r="J38" i="17"/>
  <c r="I38" i="17"/>
  <c r="H38" i="17"/>
  <c r="G38" i="17"/>
  <c r="F38" i="17"/>
  <c r="E38" i="17"/>
  <c r="D38" i="17"/>
  <c r="C38" i="17"/>
  <c r="S37" i="17"/>
  <c r="R37" i="17"/>
  <c r="T37" i="17" s="1"/>
  <c r="O37" i="17"/>
  <c r="S36" i="17"/>
  <c r="R36" i="17"/>
  <c r="N36" i="17"/>
  <c r="M36" i="17"/>
  <c r="L36" i="17"/>
  <c r="J36" i="17"/>
  <c r="I36" i="17"/>
  <c r="H36" i="17"/>
  <c r="G36" i="17"/>
  <c r="F36" i="17"/>
  <c r="E36" i="17"/>
  <c r="D36" i="17"/>
  <c r="S35" i="17"/>
  <c r="R35" i="17"/>
  <c r="T35" i="17" s="1"/>
  <c r="O35" i="17"/>
  <c r="S34" i="17"/>
  <c r="R34" i="17"/>
  <c r="N34" i="17"/>
  <c r="M34" i="17"/>
  <c r="L34" i="17"/>
  <c r="K34" i="17"/>
  <c r="J34" i="17"/>
  <c r="I34" i="17"/>
  <c r="H34" i="17"/>
  <c r="G34" i="17"/>
  <c r="F34" i="17"/>
  <c r="E34" i="17"/>
  <c r="D34" i="17"/>
  <c r="C34" i="17"/>
  <c r="S33" i="17"/>
  <c r="R33" i="17"/>
  <c r="N33" i="17"/>
  <c r="M33" i="17"/>
  <c r="L33" i="17"/>
  <c r="K33" i="17"/>
  <c r="J33" i="17"/>
  <c r="I33" i="17"/>
  <c r="H33" i="17"/>
  <c r="G33" i="17"/>
  <c r="F33" i="17"/>
  <c r="E33" i="17"/>
  <c r="D33" i="17"/>
  <c r="C33" i="17"/>
  <c r="S32" i="17"/>
  <c r="R32" i="17"/>
  <c r="N32" i="17"/>
  <c r="M32" i="17"/>
  <c r="L32" i="17"/>
  <c r="K32" i="17"/>
  <c r="J32" i="17"/>
  <c r="I32" i="17"/>
  <c r="H32" i="17"/>
  <c r="G32" i="17"/>
  <c r="F32" i="17"/>
  <c r="E32" i="17"/>
  <c r="D32" i="17"/>
  <c r="C32" i="17"/>
  <c r="S31" i="17"/>
  <c r="R31" i="17"/>
  <c r="N31" i="17"/>
  <c r="M31" i="17"/>
  <c r="L31" i="17"/>
  <c r="K31" i="17"/>
  <c r="J31" i="17"/>
  <c r="I31" i="17"/>
  <c r="H31" i="17"/>
  <c r="G31" i="17"/>
  <c r="F31" i="17"/>
  <c r="E31" i="17"/>
  <c r="D31" i="17"/>
  <c r="C31" i="17"/>
  <c r="S30" i="17"/>
  <c r="R30" i="17"/>
  <c r="N30" i="17"/>
  <c r="M30" i="17"/>
  <c r="L30" i="17"/>
  <c r="K30" i="17"/>
  <c r="J30" i="17"/>
  <c r="I30" i="17"/>
  <c r="H30" i="17"/>
  <c r="G30" i="17"/>
  <c r="F30" i="17"/>
  <c r="E30" i="17"/>
  <c r="D30" i="17"/>
  <c r="C30" i="17"/>
  <c r="S29" i="17"/>
  <c r="R29" i="17"/>
  <c r="M29" i="17"/>
  <c r="L29" i="17"/>
  <c r="K29" i="17"/>
  <c r="J29" i="17"/>
  <c r="I29" i="17"/>
  <c r="G29" i="17"/>
  <c r="F29" i="17"/>
  <c r="E29" i="17"/>
  <c r="D29" i="17"/>
  <c r="S28" i="17"/>
  <c r="R28" i="17"/>
  <c r="N28" i="17"/>
  <c r="M28" i="17"/>
  <c r="L28" i="17"/>
  <c r="K28" i="17"/>
  <c r="J28" i="17"/>
  <c r="I28" i="17"/>
  <c r="H28" i="17"/>
  <c r="G28" i="17"/>
  <c r="F28" i="17"/>
  <c r="E28" i="17"/>
  <c r="D28" i="17"/>
  <c r="C28" i="17"/>
  <c r="S27" i="17"/>
  <c r="R27" i="17"/>
  <c r="T27" i="17" s="1"/>
  <c r="O27" i="17"/>
  <c r="S26" i="17"/>
  <c r="R26" i="17"/>
  <c r="N26" i="17"/>
  <c r="M26" i="17"/>
  <c r="L26" i="17"/>
  <c r="K26" i="17"/>
  <c r="J26" i="17"/>
  <c r="I26" i="17"/>
  <c r="H26" i="17"/>
  <c r="G26" i="17"/>
  <c r="F26" i="17"/>
  <c r="E26" i="17"/>
  <c r="D26" i="17"/>
  <c r="C26" i="17"/>
  <c r="S25" i="17"/>
  <c r="R25" i="17"/>
  <c r="N25" i="17"/>
  <c r="M25" i="17"/>
  <c r="L25" i="17"/>
  <c r="K25" i="17"/>
  <c r="J25" i="17"/>
  <c r="I25" i="17"/>
  <c r="H25" i="17"/>
  <c r="G25" i="17"/>
  <c r="F25" i="17"/>
  <c r="E25" i="17"/>
  <c r="D25" i="17"/>
  <c r="C25" i="17"/>
  <c r="S24" i="17"/>
  <c r="R24" i="17"/>
  <c r="N24" i="17"/>
  <c r="M24" i="17"/>
  <c r="L24" i="17"/>
  <c r="K24" i="17"/>
  <c r="J24" i="17"/>
  <c r="I24" i="17"/>
  <c r="H24" i="17"/>
  <c r="G24" i="17"/>
  <c r="F24" i="17"/>
  <c r="E24" i="17"/>
  <c r="D24" i="17"/>
  <c r="C24" i="17"/>
  <c r="S23" i="17"/>
  <c r="R23" i="17"/>
  <c r="S22" i="17"/>
  <c r="R22" i="17"/>
  <c r="S21" i="17"/>
  <c r="R21" i="17"/>
  <c r="T21" i="17" s="1"/>
  <c r="O21" i="17"/>
  <c r="S20" i="17"/>
  <c r="R20" i="17"/>
  <c r="T20" i="17" s="1"/>
  <c r="O20" i="17"/>
  <c r="S19" i="17"/>
  <c r="R19" i="17"/>
  <c r="T19" i="17" s="1"/>
  <c r="O19" i="17"/>
  <c r="S18" i="17"/>
  <c r="R18" i="17"/>
  <c r="T18" i="17" s="1"/>
  <c r="O18" i="17"/>
  <c r="S17" i="17"/>
  <c r="R17" i="17"/>
  <c r="T17" i="17" s="1"/>
  <c r="E17" i="17"/>
  <c r="O17" i="17" s="1"/>
  <c r="S16" i="17"/>
  <c r="R16" i="17"/>
  <c r="T16" i="17" s="1"/>
  <c r="O16" i="17"/>
  <c r="S15" i="17"/>
  <c r="R15" i="17"/>
  <c r="N15" i="17"/>
  <c r="M15" i="17"/>
  <c r="L15" i="17"/>
  <c r="L4" i="17" s="1"/>
  <c r="K15" i="17"/>
  <c r="K4" i="17" s="1"/>
  <c r="J15" i="17"/>
  <c r="J4" i="17" s="1"/>
  <c r="I15" i="17"/>
  <c r="I4" i="17" s="1"/>
  <c r="H15" i="17"/>
  <c r="H4" i="17" s="1"/>
  <c r="G15" i="17"/>
  <c r="G4" i="17" s="1"/>
  <c r="F15" i="17"/>
  <c r="F4" i="17" s="1"/>
  <c r="D15" i="17"/>
  <c r="D4" i="17" s="1"/>
  <c r="C15" i="17"/>
  <c r="C4" i="17" s="1"/>
  <c r="S14" i="17"/>
  <c r="R14" i="17"/>
  <c r="T14" i="17" s="1"/>
  <c r="O14" i="17"/>
  <c r="S13" i="17"/>
  <c r="R13" i="17"/>
  <c r="T13" i="17" s="1"/>
  <c r="N13" i="17"/>
  <c r="S12" i="17"/>
  <c r="R12" i="17"/>
  <c r="T12" i="17" s="1"/>
  <c r="O12" i="17"/>
  <c r="S11" i="17"/>
  <c r="R11" i="17"/>
  <c r="N11" i="17"/>
  <c r="M11" i="17"/>
  <c r="M10" i="17" s="1"/>
  <c r="H11" i="17"/>
  <c r="H10" i="17" s="1"/>
  <c r="G11" i="17"/>
  <c r="F11" i="17"/>
  <c r="F10" i="17" s="1"/>
  <c r="E11" i="17"/>
  <c r="C11" i="17"/>
  <c r="C10" i="17" s="1"/>
  <c r="S10" i="17"/>
  <c r="R10" i="17"/>
  <c r="L10" i="17"/>
  <c r="K10" i="17"/>
  <c r="J10" i="17"/>
  <c r="I10" i="17"/>
  <c r="D10" i="17"/>
  <c r="L3" i="17"/>
  <c r="G80" i="17" l="1"/>
  <c r="O214" i="17"/>
  <c r="L90" i="17"/>
  <c r="J51" i="14"/>
  <c r="H51" i="14" s="1"/>
  <c r="T52" i="17"/>
  <c r="T53" i="17"/>
  <c r="T62" i="17"/>
  <c r="H40" i="17"/>
  <c r="O40" i="17" s="1"/>
  <c r="M54" i="14" s="1"/>
  <c r="G54" i="14" s="1"/>
  <c r="G54" i="22" s="1"/>
  <c r="J63" i="14"/>
  <c r="H63" i="14" s="1"/>
  <c r="L80" i="17"/>
  <c r="K36" i="17"/>
  <c r="O115" i="17"/>
  <c r="U75" i="17"/>
  <c r="N90" i="17"/>
  <c r="F22" i="17"/>
  <c r="F103" i="17" s="1"/>
  <c r="H90" i="17"/>
  <c r="U81" i="17"/>
  <c r="T25" i="17"/>
  <c r="T38" i="17"/>
  <c r="T34" i="17"/>
  <c r="T59" i="17"/>
  <c r="T31" i="17"/>
  <c r="T47" i="17"/>
  <c r="T42" i="17"/>
  <c r="U74" i="17"/>
  <c r="U71" i="17"/>
  <c r="H80" i="17"/>
  <c r="O222" i="17"/>
  <c r="T29" i="17"/>
  <c r="J77" i="17"/>
  <c r="J67" i="17" s="1"/>
  <c r="N247" i="17"/>
  <c r="J253" i="17"/>
  <c r="J255" i="17" s="1"/>
  <c r="T73" i="17"/>
  <c r="L22" i="17"/>
  <c r="I80" i="17"/>
  <c r="C167" i="17"/>
  <c r="J80" i="17"/>
  <c r="T93" i="17"/>
  <c r="T33" i="17"/>
  <c r="N77" i="17"/>
  <c r="T86" i="17"/>
  <c r="M23" i="17"/>
  <c r="M186" i="17" s="1"/>
  <c r="M189" i="17" s="1"/>
  <c r="K42" i="17"/>
  <c r="K23" i="17" s="1"/>
  <c r="T68" i="17"/>
  <c r="N85" i="17"/>
  <c r="O85" i="17" s="1"/>
  <c r="U85" i="17" s="1"/>
  <c r="I90" i="17"/>
  <c r="U92" i="17"/>
  <c r="T28" i="17"/>
  <c r="O59" i="17"/>
  <c r="U59" i="17" s="1"/>
  <c r="H22" i="17"/>
  <c r="T24" i="17"/>
  <c r="E23" i="17"/>
  <c r="T30" i="17"/>
  <c r="O32" i="17"/>
  <c r="M48" i="14" s="1"/>
  <c r="G48" i="14" s="1"/>
  <c r="G48" i="22" s="1"/>
  <c r="O33" i="17"/>
  <c r="U33" i="17" s="1"/>
  <c r="J90" i="17"/>
  <c r="E241" i="17"/>
  <c r="E243" i="17" s="1"/>
  <c r="G253" i="17"/>
  <c r="G255" i="17" s="1"/>
  <c r="O25" i="17"/>
  <c r="M42" i="14" s="1"/>
  <c r="G42" i="14" s="1"/>
  <c r="G42" i="22" s="1"/>
  <c r="N167" i="17"/>
  <c r="G241" i="17"/>
  <c r="G243" i="17" s="1"/>
  <c r="K22" i="17"/>
  <c r="N10" i="17"/>
  <c r="P17" i="17" s="1"/>
  <c r="P18" i="17" s="1"/>
  <c r="J23" i="17"/>
  <c r="H29" i="17"/>
  <c r="F77" i="17"/>
  <c r="F67" i="17" s="1"/>
  <c r="U64" i="17"/>
  <c r="K80" i="17"/>
  <c r="O140" i="17"/>
  <c r="I185" i="17"/>
  <c r="C35" i="15"/>
  <c r="C35" i="23" s="1"/>
  <c r="U55" i="17"/>
  <c r="T85" i="17"/>
  <c r="E80" i="17"/>
  <c r="M80" i="17"/>
  <c r="F80" i="17"/>
  <c r="C253" i="17"/>
  <c r="C255" i="17" s="1"/>
  <c r="K253" i="17"/>
  <c r="K255" i="17" s="1"/>
  <c r="U21" i="17"/>
  <c r="U57" i="17"/>
  <c r="O11" i="17"/>
  <c r="T36" i="17"/>
  <c r="T48" i="17"/>
  <c r="O52" i="17"/>
  <c r="U52" i="17" s="1"/>
  <c r="O56" i="17"/>
  <c r="M55" i="14" s="1"/>
  <c r="G55" i="14" s="1"/>
  <c r="G55" i="22" s="1"/>
  <c r="T79" i="17"/>
  <c r="O82" i="17"/>
  <c r="U82" i="17" s="1"/>
  <c r="C132" i="17"/>
  <c r="C185" i="17" s="1"/>
  <c r="C189" i="17" s="1"/>
  <c r="O120" i="17"/>
  <c r="J185" i="17"/>
  <c r="O209" i="17"/>
  <c r="O259" i="17"/>
  <c r="T39" i="17"/>
  <c r="U14" i="17"/>
  <c r="U16" i="17"/>
  <c r="T26" i="17"/>
  <c r="U35" i="17"/>
  <c r="U58" i="17"/>
  <c r="O69" i="17"/>
  <c r="U69" i="17" s="1"/>
  <c r="U76" i="17"/>
  <c r="D80" i="17"/>
  <c r="T83" i="17"/>
  <c r="O147" i="17"/>
  <c r="L185" i="17"/>
  <c r="K241" i="17"/>
  <c r="O45" i="17"/>
  <c r="E77" i="17"/>
  <c r="M77" i="17"/>
  <c r="M67" i="17" s="1"/>
  <c r="T80" i="17"/>
  <c r="H239" i="17"/>
  <c r="H240" i="17" s="1"/>
  <c r="F23" i="17"/>
  <c r="F100" i="17" s="1"/>
  <c r="N23" i="17"/>
  <c r="N186" i="17" s="1"/>
  <c r="O30" i="17"/>
  <c r="T32" i="17"/>
  <c r="O34" i="17"/>
  <c r="M60" i="14" s="1"/>
  <c r="T41" i="17"/>
  <c r="F51" i="17"/>
  <c r="O51" i="17" s="1"/>
  <c r="U51" i="17" s="1"/>
  <c r="O70" i="17"/>
  <c r="U70" i="17" s="1"/>
  <c r="O93" i="17"/>
  <c r="U93" i="17" s="1"/>
  <c r="M241" i="17"/>
  <c r="M243" i="17" s="1"/>
  <c r="M22" i="17"/>
  <c r="O13" i="17"/>
  <c r="U13" i="17" s="1"/>
  <c r="O36" i="17"/>
  <c r="M64" i="14" s="1"/>
  <c r="O48" i="17"/>
  <c r="U48" i="17" s="1"/>
  <c r="T56" i="17"/>
  <c r="U60" i="17"/>
  <c r="U65" i="17"/>
  <c r="O73" i="17"/>
  <c r="U73" i="17" s="1"/>
  <c r="O79" i="17"/>
  <c r="M53" i="14" s="1"/>
  <c r="G53" i="14" s="1"/>
  <c r="G53" i="22" s="1"/>
  <c r="O86" i="17"/>
  <c r="U86" i="17" s="1"/>
  <c r="O176" i="17"/>
  <c r="O184" i="17" s="1"/>
  <c r="O233" i="17"/>
  <c r="D253" i="17"/>
  <c r="D255" i="17" s="1"/>
  <c r="O258" i="17"/>
  <c r="G35" i="15"/>
  <c r="G35" i="23" s="1"/>
  <c r="D22" i="17"/>
  <c r="D103" i="17" s="1"/>
  <c r="T15" i="17"/>
  <c r="C29" i="17"/>
  <c r="C23" i="17" s="1"/>
  <c r="T40" i="17"/>
  <c r="O53" i="17"/>
  <c r="U61" i="17"/>
  <c r="H77" i="17"/>
  <c r="H67" i="17" s="1"/>
  <c r="T69" i="17"/>
  <c r="D67" i="17"/>
  <c r="L67" i="17"/>
  <c r="O83" i="17"/>
  <c r="U83" i="17" s="1"/>
  <c r="U88" i="17"/>
  <c r="O91" i="17"/>
  <c r="U91" i="17" s="1"/>
  <c r="D185" i="17"/>
  <c r="D189" i="17" s="1"/>
  <c r="O234" i="17"/>
  <c r="E253" i="17"/>
  <c r="E255" i="17" s="1"/>
  <c r="M253" i="17"/>
  <c r="M255" i="17" s="1"/>
  <c r="I77" i="17"/>
  <c r="I67" i="17" s="1"/>
  <c r="N68" i="17"/>
  <c r="E67" i="17"/>
  <c r="F253" i="17"/>
  <c r="F255" i="17" s="1"/>
  <c r="U19" i="17"/>
  <c r="U25" i="17"/>
  <c r="U44" i="17"/>
  <c r="T45" i="17"/>
  <c r="U37" i="17"/>
  <c r="U72" i="17"/>
  <c r="T51" i="17"/>
  <c r="U49" i="17"/>
  <c r="U54" i="17"/>
  <c r="U56" i="17"/>
  <c r="U63" i="17"/>
  <c r="U17" i="17"/>
  <c r="U32" i="17"/>
  <c r="U36" i="17"/>
  <c r="U12" i="17"/>
  <c r="U20" i="17"/>
  <c r="U87" i="17"/>
  <c r="T46" i="17"/>
  <c r="U18" i="17"/>
  <c r="U27" i="17"/>
  <c r="U43" i="17"/>
  <c r="T82" i="17"/>
  <c r="U84" i="17"/>
  <c r="U94" i="17"/>
  <c r="O97" i="17"/>
  <c r="U97" i="17" s="1"/>
  <c r="G62" i="14"/>
  <c r="G62" i="22" s="1"/>
  <c r="H64" i="14"/>
  <c r="Z11" i="17"/>
  <c r="U11" i="17"/>
  <c r="L103" i="17"/>
  <c r="H103" i="17"/>
  <c r="E186" i="17"/>
  <c r="E189" i="17" s="1"/>
  <c r="E100" i="17"/>
  <c r="C22" i="17"/>
  <c r="T11" i="17"/>
  <c r="G10" i="17"/>
  <c r="I23" i="17"/>
  <c r="E168" i="17"/>
  <c r="E185" i="17"/>
  <c r="E10" i="17"/>
  <c r="E15" i="17"/>
  <c r="O26" i="17"/>
  <c r="U26" i="17" s="1"/>
  <c r="O38" i="17"/>
  <c r="O46" i="17"/>
  <c r="U46" i="17" s="1"/>
  <c r="S100" i="17"/>
  <c r="S102" i="17" s="1"/>
  <c r="S104" i="17" s="1"/>
  <c r="R102" i="17"/>
  <c r="K185" i="17"/>
  <c r="K168" i="17"/>
  <c r="H168" i="17"/>
  <c r="O41" i="17"/>
  <c r="C67" i="17"/>
  <c r="K67" i="17"/>
  <c r="O24" i="17"/>
  <c r="I22" i="17"/>
  <c r="G23" i="17"/>
  <c r="D23" i="17"/>
  <c r="L23" i="17"/>
  <c r="L66" i="17" s="1"/>
  <c r="O47" i="17"/>
  <c r="U47" i="17" s="1"/>
  <c r="N168" i="17"/>
  <c r="N185" i="17"/>
  <c r="L253" i="17"/>
  <c r="L255" i="17" s="1"/>
  <c r="J22" i="17"/>
  <c r="O28" i="17"/>
  <c r="O39" i="17"/>
  <c r="U39" i="17" s="1"/>
  <c r="Z96" i="17"/>
  <c r="U96" i="17"/>
  <c r="Q96" i="17"/>
  <c r="O31" i="17"/>
  <c r="U79" i="17"/>
  <c r="F243" i="17"/>
  <c r="N253" i="17"/>
  <c r="N255" i="17" s="1"/>
  <c r="C168" i="17"/>
  <c r="O167" i="17"/>
  <c r="F168" i="17"/>
  <c r="F185" i="17"/>
  <c r="F246" i="17" s="1"/>
  <c r="F248" i="17" s="1"/>
  <c r="G90" i="17"/>
  <c r="T90" i="17" s="1"/>
  <c r="T91" i="17"/>
  <c r="M185" i="17"/>
  <c r="H204" i="17"/>
  <c r="C205" i="17"/>
  <c r="K205" i="17"/>
  <c r="J239" i="17"/>
  <c r="J240" i="17" s="1"/>
  <c r="T70" i="17"/>
  <c r="G77" i="17"/>
  <c r="T77" i="17" s="1"/>
  <c r="C80" i="17"/>
  <c r="O137" i="17"/>
  <c r="J52" i="14" s="1"/>
  <c r="H52" i="14" s="1"/>
  <c r="I168" i="17"/>
  <c r="O188" i="17"/>
  <c r="O247" i="17" s="1"/>
  <c r="I204" i="17"/>
  <c r="D205" i="17"/>
  <c r="L205" i="17"/>
  <c r="H247" i="17"/>
  <c r="O254" i="17"/>
  <c r="O62" i="17"/>
  <c r="U62" i="17" s="1"/>
  <c r="H132" i="17"/>
  <c r="H133" i="17" s="1"/>
  <c r="O142" i="17"/>
  <c r="J46" i="14" s="1"/>
  <c r="H46" i="14" s="1"/>
  <c r="J168" i="17"/>
  <c r="G185" i="17"/>
  <c r="E205" i="17"/>
  <c r="M205" i="17"/>
  <c r="D239" i="17"/>
  <c r="D240" i="17" s="1"/>
  <c r="L239" i="17"/>
  <c r="L240" i="17" s="1"/>
  <c r="F205" i="17"/>
  <c r="C241" i="17"/>
  <c r="H251" i="17"/>
  <c r="H253" i="17" s="1"/>
  <c r="H255" i="17" s="1"/>
  <c r="D168" i="17"/>
  <c r="L168" i="17"/>
  <c r="G205" i="17"/>
  <c r="I251" i="17"/>
  <c r="I253" i="17" s="1"/>
  <c r="I255" i="17" s="1"/>
  <c r="O211" i="17"/>
  <c r="O251" i="17" s="1"/>
  <c r="O253" i="17" s="1"/>
  <c r="O217" i="17"/>
  <c r="N204" i="17"/>
  <c r="F186" i="17" l="1"/>
  <c r="F189" i="17" s="1"/>
  <c r="O29" i="17"/>
  <c r="J100" i="17"/>
  <c r="K186" i="17"/>
  <c r="K189" i="17" s="1"/>
  <c r="K100" i="17"/>
  <c r="K66" i="17"/>
  <c r="K78" i="17" s="1"/>
  <c r="K89" i="17" s="1"/>
  <c r="K95" i="17" s="1"/>
  <c r="K104" i="17" s="1"/>
  <c r="M66" i="17"/>
  <c r="M78" i="17" s="1"/>
  <c r="M89" i="17" s="1"/>
  <c r="M95" i="17" s="1"/>
  <c r="M98" i="17" s="1"/>
  <c r="M100" i="17"/>
  <c r="C133" i="17"/>
  <c r="K246" i="17"/>
  <c r="K248" i="17" s="1"/>
  <c r="O42" i="17"/>
  <c r="M52" i="14" s="1"/>
  <c r="J241" i="17"/>
  <c r="J246" i="17" s="1"/>
  <c r="J248" i="17" s="1"/>
  <c r="H23" i="17"/>
  <c r="H66" i="17" s="1"/>
  <c r="H78" i="17" s="1"/>
  <c r="H89" i="17" s="1"/>
  <c r="H95" i="17" s="1"/>
  <c r="N80" i="17"/>
  <c r="O80" i="17" s="1"/>
  <c r="U80" i="17" s="1"/>
  <c r="M246" i="17"/>
  <c r="M248" i="17" s="1"/>
  <c r="P79" i="17"/>
  <c r="K243" i="17"/>
  <c r="U40" i="17"/>
  <c r="E246" i="17"/>
  <c r="E248" i="17" s="1"/>
  <c r="O260" i="17"/>
  <c r="P260" i="17" s="1"/>
  <c r="U34" i="17"/>
  <c r="M63" i="14"/>
  <c r="G63" i="14" s="1"/>
  <c r="G63" i="22" s="1"/>
  <c r="O239" i="17"/>
  <c r="M103" i="17"/>
  <c r="L78" i="17"/>
  <c r="L89" i="17" s="1"/>
  <c r="L95" i="17" s="1"/>
  <c r="L98" i="17" s="1"/>
  <c r="K103" i="17"/>
  <c r="O10" i="17"/>
  <c r="N67" i="17"/>
  <c r="N187" i="17"/>
  <c r="N189" i="17"/>
  <c r="O68" i="17"/>
  <c r="O107" i="17" s="1"/>
  <c r="O204" i="17"/>
  <c r="J186" i="17"/>
  <c r="J189" i="17" s="1"/>
  <c r="N22" i="17"/>
  <c r="N100" i="17"/>
  <c r="F66" i="17"/>
  <c r="F78" i="17" s="1"/>
  <c r="F89" i="17" s="1"/>
  <c r="F95" i="17" s="1"/>
  <c r="F104" i="17" s="1"/>
  <c r="G246" i="17"/>
  <c r="G248" i="17" s="1"/>
  <c r="P86" i="17"/>
  <c r="Z97" i="17"/>
  <c r="C100" i="17"/>
  <c r="C186" i="17"/>
  <c r="C187" i="17" s="1"/>
  <c r="U30" i="17"/>
  <c r="M44" i="14"/>
  <c r="U45" i="17"/>
  <c r="M50" i="14"/>
  <c r="G52" i="14"/>
  <c r="G52" i="22" s="1"/>
  <c r="U42" i="17"/>
  <c r="M187" i="17"/>
  <c r="U31" i="17"/>
  <c r="M45" i="14"/>
  <c r="G45" i="14" s="1"/>
  <c r="G45" i="22" s="1"/>
  <c r="U24" i="17"/>
  <c r="M41" i="14"/>
  <c r="U41" i="17"/>
  <c r="M51" i="14"/>
  <c r="G51" i="14" s="1"/>
  <c r="G51" i="22" s="1"/>
  <c r="U38" i="17"/>
  <c r="M57" i="14"/>
  <c r="G57" i="14" s="1"/>
  <c r="G57" i="22" s="1"/>
  <c r="J187" i="17"/>
  <c r="M43" i="14"/>
  <c r="G43" i="14" s="1"/>
  <c r="G43" i="22" s="1"/>
  <c r="O240" i="17"/>
  <c r="U28" i="17"/>
  <c r="M58" i="14"/>
  <c r="G58" i="14" s="1"/>
  <c r="G58" i="22" s="1"/>
  <c r="U29" i="17"/>
  <c r="M46" i="14"/>
  <c r="G46" i="14" s="1"/>
  <c r="G46" i="22" s="1"/>
  <c r="U53" i="17"/>
  <c r="I205" i="17"/>
  <c r="I241" i="17"/>
  <c r="O168" i="17"/>
  <c r="D186" i="17"/>
  <c r="D187" i="17" s="1"/>
  <c r="D100" i="17"/>
  <c r="F187" i="17"/>
  <c r="N241" i="17"/>
  <c r="N205" i="17"/>
  <c r="C246" i="17"/>
  <c r="C248" i="17" s="1"/>
  <c r="D241" i="17"/>
  <c r="G186" i="17"/>
  <c r="G100" i="17"/>
  <c r="G101" i="17" s="1"/>
  <c r="T23" i="17"/>
  <c r="L241" i="17"/>
  <c r="H185" i="17"/>
  <c r="I100" i="17"/>
  <c r="I186" i="17"/>
  <c r="D66" i="17"/>
  <c r="D78" i="17" s="1"/>
  <c r="D89" i="17" s="1"/>
  <c r="D95" i="17" s="1"/>
  <c r="O90" i="17"/>
  <c r="I103" i="17"/>
  <c r="I66" i="17"/>
  <c r="I78" i="17" s="1"/>
  <c r="I89" i="17" s="1"/>
  <c r="I95" i="17" s="1"/>
  <c r="E187" i="17"/>
  <c r="E4" i="17"/>
  <c r="O15" i="17"/>
  <c r="T10" i="17"/>
  <c r="G22" i="17"/>
  <c r="O255" i="17"/>
  <c r="E22" i="17"/>
  <c r="C243" i="17"/>
  <c r="O77" i="17"/>
  <c r="U77" i="17" s="1"/>
  <c r="J103" i="17"/>
  <c r="J66" i="17"/>
  <c r="J78" i="17" s="1"/>
  <c r="J89" i="17" s="1"/>
  <c r="J95" i="17" s="1"/>
  <c r="O132" i="17"/>
  <c r="O185" i="17" s="1"/>
  <c r="C103" i="17"/>
  <c r="C66" i="17"/>
  <c r="U10" i="17"/>
  <c r="P34" i="17"/>
  <c r="P10" i="17"/>
  <c r="K187" i="17"/>
  <c r="H205" i="17"/>
  <c r="H241" i="17"/>
  <c r="G67" i="17"/>
  <c r="T67" i="17" s="1"/>
  <c r="L186" i="17"/>
  <c r="L100" i="17"/>
  <c r="O23" i="17"/>
  <c r="N6" i="30"/>
  <c r="M6" i="30"/>
  <c r="J83" i="29"/>
  <c r="I83" i="29"/>
  <c r="J84" i="29"/>
  <c r="I84" i="29"/>
  <c r="N168" i="16"/>
  <c r="N169" i="16"/>
  <c r="AD113" i="16"/>
  <c r="G30" i="20"/>
  <c r="G29" i="20"/>
  <c r="G28" i="20"/>
  <c r="G27" i="20"/>
  <c r="G25" i="20"/>
  <c r="G24" i="20"/>
  <c r="G23" i="20"/>
  <c r="G21" i="20"/>
  <c r="G7" i="20"/>
  <c r="J32" i="12"/>
  <c r="H32" i="12"/>
  <c r="G32" i="12"/>
  <c r="F32" i="12"/>
  <c r="E32" i="12"/>
  <c r="D32" i="12"/>
  <c r="I38" i="12"/>
  <c r="E7" i="12"/>
  <c r="E8" i="12"/>
  <c r="F72" i="12"/>
  <c r="G72" i="12" s="1"/>
  <c r="D72" i="12"/>
  <c r="E72" i="12" s="1"/>
  <c r="F70" i="12"/>
  <c r="F71" i="12" s="1"/>
  <c r="D70" i="12"/>
  <c r="D71" i="12" s="1"/>
  <c r="AD95" i="16"/>
  <c r="AD93" i="16"/>
  <c r="F68" i="12"/>
  <c r="D68" i="12"/>
  <c r="J56" i="12"/>
  <c r="I56" i="12"/>
  <c r="H56" i="12"/>
  <c r="G56" i="12"/>
  <c r="F56" i="12"/>
  <c r="E56" i="12"/>
  <c r="D56" i="12"/>
  <c r="C56" i="12"/>
  <c r="K55" i="12"/>
  <c r="L31" i="12"/>
  <c r="L30" i="12"/>
  <c r="M19" i="12"/>
  <c r="M17" i="12"/>
  <c r="L16" i="12"/>
  <c r="G11" i="12"/>
  <c r="O262" i="17" l="1"/>
  <c r="U68" i="17"/>
  <c r="H100" i="17"/>
  <c r="J243" i="17"/>
  <c r="L104" i="17"/>
  <c r="H186" i="17"/>
  <c r="H187" i="17" s="1"/>
  <c r="F98" i="17"/>
  <c r="F102" i="17" s="1"/>
  <c r="K98" i="17"/>
  <c r="K102" i="17" s="1"/>
  <c r="N66" i="17"/>
  <c r="N78" i="17" s="1"/>
  <c r="N89" i="17" s="1"/>
  <c r="N95" i="17" s="1"/>
  <c r="N103" i="17"/>
  <c r="O22" i="17"/>
  <c r="O103" i="17" s="1"/>
  <c r="M104" i="17"/>
  <c r="U90" i="17"/>
  <c r="M61" i="14"/>
  <c r="M65" i="14" s="1"/>
  <c r="J50" i="14"/>
  <c r="H50" i="14" s="1"/>
  <c r="G41" i="14"/>
  <c r="O205" i="17"/>
  <c r="O241" i="17"/>
  <c r="O246" i="17" s="1"/>
  <c r="O248" i="17" s="1"/>
  <c r="H243" i="17"/>
  <c r="H246" i="17"/>
  <c r="H248" i="17" s="1"/>
  <c r="I98" i="17"/>
  <c r="I104" i="17"/>
  <c r="C78" i="17"/>
  <c r="G103" i="17"/>
  <c r="G66" i="17"/>
  <c r="T22" i="17"/>
  <c r="O100" i="17"/>
  <c r="O101" i="17" s="1"/>
  <c r="U23" i="17"/>
  <c r="E103" i="17"/>
  <c r="E66" i="17"/>
  <c r="E78" i="17" s="1"/>
  <c r="E89" i="17" s="1"/>
  <c r="E95" i="17" s="1"/>
  <c r="L243" i="17"/>
  <c r="L246" i="17"/>
  <c r="L248" i="17" s="1"/>
  <c r="I246" i="17"/>
  <c r="I248" i="17" s="1"/>
  <c r="I243" i="17"/>
  <c r="H98" i="17"/>
  <c r="H104" i="17"/>
  <c r="O67" i="17"/>
  <c r="U67" i="17" s="1"/>
  <c r="U15" i="17"/>
  <c r="P15" i="17"/>
  <c r="J98" i="17"/>
  <c r="J104" i="17"/>
  <c r="D98" i="17"/>
  <c r="D104" i="17"/>
  <c r="L187" i="17"/>
  <c r="L189" i="17"/>
  <c r="M105" i="17"/>
  <c r="M106" i="17" s="1"/>
  <c r="M102" i="17"/>
  <c r="M99" i="17"/>
  <c r="I187" i="17"/>
  <c r="I189" i="17"/>
  <c r="G187" i="17"/>
  <c r="G189" i="17"/>
  <c r="N246" i="17"/>
  <c r="N248" i="17" s="1"/>
  <c r="N243" i="17"/>
  <c r="D243" i="17"/>
  <c r="D246" i="17"/>
  <c r="D248" i="17" s="1"/>
  <c r="L105" i="17"/>
  <c r="L106" i="17" s="1"/>
  <c r="L102" i="17"/>
  <c r="O243" i="17" l="1"/>
  <c r="O186" i="17"/>
  <c r="O187" i="17" s="1"/>
  <c r="H189" i="17"/>
  <c r="K105" i="17"/>
  <c r="K106" i="17" s="1"/>
  <c r="K99" i="17"/>
  <c r="F105" i="17"/>
  <c r="U22" i="17"/>
  <c r="U103" i="17" s="1"/>
  <c r="G50" i="14"/>
  <c r="G50" i="22" s="1"/>
  <c r="N98" i="17"/>
  <c r="N104" i="17"/>
  <c r="H79" i="14"/>
  <c r="G41" i="22"/>
  <c r="J61" i="14"/>
  <c r="H61" i="14" s="1"/>
  <c r="T66" i="17"/>
  <c r="G78" i="17"/>
  <c r="I105" i="17"/>
  <c r="I106" i="17" s="1"/>
  <c r="I102" i="17"/>
  <c r="J105" i="17"/>
  <c r="J106" i="17" s="1"/>
  <c r="J99" i="17"/>
  <c r="J102" i="17"/>
  <c r="O66" i="17"/>
  <c r="U66" i="17" s="1"/>
  <c r="D105" i="17"/>
  <c r="D102" i="17"/>
  <c r="E98" i="17"/>
  <c r="E104" i="17"/>
  <c r="C89" i="17"/>
  <c r="H105" i="17"/>
  <c r="H106" i="17" s="1"/>
  <c r="H99" i="17"/>
  <c r="H102" i="17"/>
  <c r="N102" i="17" l="1"/>
  <c r="N99" i="17"/>
  <c r="N105" i="17"/>
  <c r="N106" i="17" s="1"/>
  <c r="G61" i="14"/>
  <c r="G61" i="22" s="1"/>
  <c r="G89" i="17"/>
  <c r="T78" i="17"/>
  <c r="O78" i="17"/>
  <c r="U78" i="17" s="1"/>
  <c r="C95" i="17"/>
  <c r="E105" i="17"/>
  <c r="E102" i="17"/>
  <c r="E99" i="17"/>
  <c r="T89" i="17" l="1"/>
  <c r="G95" i="17"/>
  <c r="C104" i="17"/>
  <c r="C98" i="17"/>
  <c r="O89" i="17"/>
  <c r="G98" i="17" l="1"/>
  <c r="T95" i="17"/>
  <c r="G104" i="17"/>
  <c r="U89" i="17"/>
  <c r="O95" i="17"/>
  <c r="C105" i="17"/>
  <c r="C102" i="17"/>
  <c r="G102" i="17" l="1"/>
  <c r="T98" i="17"/>
  <c r="G105" i="17"/>
  <c r="U95" i="17"/>
  <c r="O98" i="17"/>
  <c r="O104" i="17"/>
  <c r="O102" i="17" l="1"/>
  <c r="O99" i="17"/>
  <c r="N107" i="17"/>
  <c r="O105" i="17"/>
  <c r="O106" i="17" s="1"/>
  <c r="U98" i="17"/>
  <c r="U102" i="17" s="1"/>
  <c r="AD44" i="16" l="1"/>
  <c r="E92" i="11"/>
  <c r="D86" i="11"/>
  <c r="D89" i="19" s="1"/>
  <c r="F90" i="19"/>
  <c r="D91" i="19"/>
  <c r="H89" i="19"/>
  <c r="F89" i="19"/>
  <c r="H109" i="11"/>
  <c r="H105" i="11"/>
  <c r="G156" i="11"/>
  <c r="E156" i="11"/>
  <c r="L87" i="11"/>
  <c r="D87" i="11" s="1"/>
  <c r="D90" i="19" s="1"/>
  <c r="F88" i="11"/>
  <c r="F91" i="19" s="1"/>
  <c r="H110" i="11"/>
  <c r="F110" i="11"/>
  <c r="F109" i="11"/>
  <c r="F111" i="11" s="1"/>
  <c r="H99" i="11"/>
  <c r="F99" i="11"/>
  <c r="E138" i="11"/>
  <c r="F138" i="11"/>
  <c r="G138" i="11"/>
  <c r="G131" i="11"/>
  <c r="E131" i="11"/>
  <c r="I133" i="11"/>
  <c r="F133" i="11"/>
  <c r="F131" i="11" s="1"/>
  <c r="H138" i="11"/>
  <c r="H130" i="11"/>
  <c r="D130" i="11"/>
  <c r="H111" i="11" l="1"/>
  <c r="I130" i="11"/>
  <c r="H132" i="11"/>
  <c r="I131" i="11"/>
  <c r="D132" i="11"/>
  <c r="C132" i="11"/>
  <c r="G129" i="11"/>
  <c r="G136" i="11" s="1"/>
  <c r="G137" i="11" s="1"/>
  <c r="G126" i="11" s="1"/>
  <c r="F129" i="11"/>
  <c r="F136" i="11" s="1"/>
  <c r="F137" i="11" s="1"/>
  <c r="E129" i="11"/>
  <c r="E136" i="11" s="1"/>
  <c r="E137" i="11" s="1"/>
  <c r="M128" i="11"/>
  <c r="L128" i="11"/>
  <c r="R128" i="11" s="1"/>
  <c r="O127" i="11"/>
  <c r="N127" i="11"/>
  <c r="R130" i="11"/>
  <c r="R129" i="11"/>
  <c r="P127" i="11"/>
  <c r="H136" i="11"/>
  <c r="H137" i="11" s="1"/>
  <c r="D136" i="11"/>
  <c r="D137" i="11" s="1"/>
  <c r="C136" i="11"/>
  <c r="C137" i="11" s="1"/>
  <c r="E132" i="11" l="1"/>
  <c r="F132" i="11"/>
  <c r="G132" i="11"/>
  <c r="I132" i="11"/>
  <c r="I135" i="11" s="1"/>
  <c r="I129" i="11"/>
  <c r="I136" i="11" s="1"/>
  <c r="I137" i="11" s="1"/>
  <c r="R127" i="11"/>
  <c r="D284" i="28" l="1"/>
  <c r="D39" i="28"/>
  <c r="G14" i="28"/>
  <c r="J129" i="11"/>
  <c r="G314" i="41" l="1"/>
  <c r="N62" i="37"/>
  <c r="D62" i="37"/>
  <c r="L62" i="37" s="1"/>
  <c r="F15" i="40" s="1"/>
  <c r="K39" i="20"/>
  <c r="O62" i="37" l="1"/>
  <c r="AF173" i="16"/>
  <c r="AF172" i="16"/>
  <c r="AF171" i="16"/>
  <c r="AF170" i="16"/>
  <c r="AF169" i="16"/>
  <c r="AF168" i="16"/>
  <c r="AF167" i="16"/>
  <c r="AF166" i="16"/>
  <c r="AF165" i="16"/>
  <c r="AF164" i="16"/>
  <c r="AF163" i="16"/>
  <c r="AF162" i="16"/>
  <c r="AF161" i="16"/>
  <c r="AF160" i="16"/>
  <c r="AI160" i="16" s="1"/>
  <c r="AF159" i="16"/>
  <c r="AF158" i="16"/>
  <c r="AF157" i="16"/>
  <c r="AF156" i="16"/>
  <c r="AF155" i="16"/>
  <c r="AF154" i="16"/>
  <c r="AF153" i="16"/>
  <c r="AF152" i="16"/>
  <c r="AF151" i="16"/>
  <c r="AF150" i="16"/>
  <c r="AF149" i="16"/>
  <c r="AF148" i="16"/>
  <c r="AF147" i="16"/>
  <c r="AF146" i="16"/>
  <c r="AF145" i="16"/>
  <c r="AF144" i="16"/>
  <c r="AF143" i="16"/>
  <c r="AF142" i="16"/>
  <c r="AF141" i="16"/>
  <c r="AF140" i="16"/>
  <c r="AF139" i="16"/>
  <c r="AF138" i="16"/>
  <c r="AF137" i="16"/>
  <c r="AF136" i="16"/>
  <c r="AF135" i="16"/>
  <c r="AF134" i="16"/>
  <c r="AF133" i="16"/>
  <c r="AF132" i="16"/>
  <c r="AF131" i="16"/>
  <c r="AF130" i="16"/>
  <c r="AF129" i="16"/>
  <c r="AF128" i="16"/>
  <c r="AF127" i="16"/>
  <c r="AF126" i="16"/>
  <c r="AF125" i="16"/>
  <c r="AF124" i="16"/>
  <c r="AF123" i="16"/>
  <c r="AF122" i="16"/>
  <c r="AF121" i="16"/>
  <c r="AF120" i="16"/>
  <c r="AF119" i="16"/>
  <c r="AF118" i="16"/>
  <c r="AF117" i="16"/>
  <c r="AF116" i="16"/>
  <c r="AF115" i="16"/>
  <c r="AF114" i="16"/>
  <c r="AF113" i="16"/>
  <c r="AF112" i="16"/>
  <c r="AF111" i="16"/>
  <c r="AF110" i="16"/>
  <c r="AF109" i="16"/>
  <c r="AF108" i="16"/>
  <c r="AF107" i="16"/>
  <c r="AF106" i="16"/>
  <c r="AF105" i="16"/>
  <c r="AF104" i="16"/>
  <c r="AF103" i="16"/>
  <c r="AF102" i="16"/>
  <c r="AF101" i="16"/>
  <c r="AF100" i="16"/>
  <c r="AF99" i="16"/>
  <c r="AF98" i="16"/>
  <c r="AF97" i="16"/>
  <c r="AF96" i="16"/>
  <c r="AF95" i="16"/>
  <c r="AF94" i="16"/>
  <c r="AF93" i="16"/>
  <c r="AF92" i="16"/>
  <c r="AF91" i="16"/>
  <c r="AF90" i="16"/>
  <c r="AF89" i="16"/>
  <c r="AF88" i="16"/>
  <c r="AF87" i="16"/>
  <c r="AF86" i="16"/>
  <c r="AF85" i="16"/>
  <c r="AF84" i="16"/>
  <c r="AF83" i="16"/>
  <c r="AF82" i="16"/>
  <c r="AF81" i="16"/>
  <c r="AF80" i="16"/>
  <c r="AF79" i="16"/>
  <c r="AF78" i="16"/>
  <c r="AF77" i="16"/>
  <c r="AF76" i="16"/>
  <c r="AF75" i="16"/>
  <c r="AF74" i="16"/>
  <c r="AF73" i="16"/>
  <c r="AF72" i="16"/>
  <c r="AF71" i="16"/>
  <c r="AF70" i="16"/>
  <c r="AF69" i="16"/>
  <c r="AF68" i="16"/>
  <c r="AF67" i="16"/>
  <c r="AF66" i="16"/>
  <c r="AF65" i="16"/>
  <c r="AF64" i="16"/>
  <c r="AF63" i="16"/>
  <c r="AF62" i="16"/>
  <c r="AF61" i="16"/>
  <c r="AF60" i="16"/>
  <c r="AF59" i="16"/>
  <c r="AF58" i="16"/>
  <c r="AF57" i="16"/>
  <c r="AF56" i="16"/>
  <c r="AF55" i="16"/>
  <c r="AF54" i="16"/>
  <c r="AF53" i="16"/>
  <c r="AF52" i="16"/>
  <c r="AF51" i="16"/>
  <c r="AF50" i="16"/>
  <c r="AF49" i="16"/>
  <c r="AF48" i="16"/>
  <c r="AF47" i="16"/>
  <c r="AF46" i="16"/>
  <c r="AF45" i="16"/>
  <c r="AF44" i="16"/>
  <c r="AF43" i="16"/>
  <c r="AF42" i="16"/>
  <c r="AF40" i="16"/>
  <c r="AF39" i="16"/>
  <c r="AF38" i="16"/>
  <c r="AF37" i="16"/>
  <c r="AF35" i="16"/>
  <c r="AF34" i="16"/>
  <c r="AF33" i="16"/>
  <c r="AF32" i="16"/>
  <c r="AF31" i="16"/>
  <c r="AF30" i="16"/>
  <c r="AF29" i="16"/>
  <c r="AF28" i="16"/>
  <c r="AF27" i="16"/>
  <c r="AF26" i="16"/>
  <c r="AF25" i="16"/>
  <c r="AF24" i="16"/>
  <c r="AF23" i="16"/>
  <c r="AF22" i="16"/>
  <c r="AF21" i="16"/>
  <c r="AF20" i="16"/>
  <c r="AF19" i="16"/>
  <c r="AF18" i="16"/>
  <c r="AF17" i="16"/>
  <c r="AF16" i="16"/>
  <c r="AF15" i="16"/>
  <c r="AF14" i="16"/>
  <c r="K20" i="20"/>
  <c r="H95" i="12"/>
  <c r="F95" i="12"/>
  <c r="G77" i="12"/>
  <c r="J66" i="12"/>
  <c r="H66" i="12"/>
  <c r="G66" i="12"/>
  <c r="F66" i="12"/>
  <c r="E66" i="12"/>
  <c r="C64" i="12"/>
  <c r="K63" i="12"/>
  <c r="K62" i="12"/>
  <c r="K61" i="12"/>
  <c r="K60" i="12"/>
  <c r="K59" i="12"/>
  <c r="K58" i="12"/>
  <c r="D64" i="12"/>
  <c r="J64" i="12"/>
  <c r="H64" i="12"/>
  <c r="G64" i="12"/>
  <c r="F64" i="12"/>
  <c r="E64" i="12"/>
  <c r="K54" i="12"/>
  <c r="C53" i="12"/>
  <c r="K52" i="12"/>
  <c r="K51" i="12"/>
  <c r="K50" i="12"/>
  <c r="J49" i="12"/>
  <c r="H49" i="12"/>
  <c r="G49" i="12"/>
  <c r="F49" i="12"/>
  <c r="E49" i="12"/>
  <c r="D49" i="12"/>
  <c r="K48" i="12"/>
  <c r="L9" i="12" s="1"/>
  <c r="K47" i="12"/>
  <c r="F44" i="12"/>
  <c r="K45" i="12"/>
  <c r="J44" i="12"/>
  <c r="H44" i="12"/>
  <c r="G44" i="12"/>
  <c r="E44" i="12"/>
  <c r="K43" i="12"/>
  <c r="J30" i="12"/>
  <c r="I30" i="12"/>
  <c r="H30" i="12"/>
  <c r="G30" i="12"/>
  <c r="G33" i="20" s="1"/>
  <c r="F30" i="12"/>
  <c r="E30" i="12"/>
  <c r="D30" i="12"/>
  <c r="C30" i="12"/>
  <c r="K27" i="12"/>
  <c r="K26" i="12"/>
  <c r="K25" i="12"/>
  <c r="M25" i="12" s="1"/>
  <c r="K24" i="12"/>
  <c r="J23" i="12"/>
  <c r="H23" i="12"/>
  <c r="G23" i="12"/>
  <c r="G26" i="20" s="1"/>
  <c r="F23" i="12"/>
  <c r="E23" i="12"/>
  <c r="D23" i="12"/>
  <c r="C23" i="12"/>
  <c r="K22" i="12"/>
  <c r="K21" i="12"/>
  <c r="K20" i="12"/>
  <c r="J19" i="12"/>
  <c r="I19" i="12"/>
  <c r="I28" i="12" s="1"/>
  <c r="H19" i="12"/>
  <c r="G19" i="12"/>
  <c r="F19" i="12"/>
  <c r="E19" i="12"/>
  <c r="D19" i="12"/>
  <c r="C19" i="12"/>
  <c r="K18" i="12"/>
  <c r="K15" i="12"/>
  <c r="K14" i="12"/>
  <c r="K13" i="12"/>
  <c r="L13" i="12" s="1"/>
  <c r="L15" i="12" s="1"/>
  <c r="K12" i="12"/>
  <c r="K11" i="12"/>
  <c r="M11" i="12" s="1"/>
  <c r="J10" i="12"/>
  <c r="H10" i="12"/>
  <c r="G10" i="12"/>
  <c r="F10" i="12"/>
  <c r="E10" i="12"/>
  <c r="D10" i="12"/>
  <c r="C10" i="12"/>
  <c r="K9" i="12"/>
  <c r="K8" i="12"/>
  <c r="K7" i="12"/>
  <c r="K6" i="12"/>
  <c r="J5" i="12"/>
  <c r="I5" i="12"/>
  <c r="H5" i="12"/>
  <c r="D15" i="15" s="1"/>
  <c r="D15" i="23" s="1"/>
  <c r="G5" i="12"/>
  <c r="D14" i="15" s="1"/>
  <c r="D14" i="23" s="1"/>
  <c r="F5" i="12"/>
  <c r="D13" i="15" s="1"/>
  <c r="D13" i="23" s="1"/>
  <c r="E5" i="12"/>
  <c r="D12" i="15" s="1"/>
  <c r="D12" i="23" s="1"/>
  <c r="D5" i="12"/>
  <c r="D9" i="15" s="1"/>
  <c r="C5" i="12"/>
  <c r="K4" i="12"/>
  <c r="C36" i="15" l="1"/>
  <c r="C37" i="15" s="1"/>
  <c r="J16" i="12"/>
  <c r="D9" i="23"/>
  <c r="D19" i="15"/>
  <c r="G22" i="20"/>
  <c r="L10" i="12"/>
  <c r="N10" i="12" s="1"/>
  <c r="I31" i="12"/>
  <c r="I29" i="12"/>
  <c r="D16" i="12"/>
  <c r="N9" i="15" s="1"/>
  <c r="N9" i="23" s="1"/>
  <c r="H16" i="12"/>
  <c r="N15" i="15" s="1"/>
  <c r="N15" i="23" s="1"/>
  <c r="H28" i="12"/>
  <c r="H38" i="12" s="1"/>
  <c r="H53" i="12"/>
  <c r="H67" i="12" s="1"/>
  <c r="C65" i="12"/>
  <c r="G16" i="12"/>
  <c r="N14" i="15" s="1"/>
  <c r="N14" i="23" s="1"/>
  <c r="K30" i="12"/>
  <c r="M30" i="12" s="1"/>
  <c r="C16" i="12"/>
  <c r="C28" i="12"/>
  <c r="C38" i="12" s="1"/>
  <c r="G28" i="12"/>
  <c r="G53" i="12"/>
  <c r="G67" i="12" s="1"/>
  <c r="D44" i="12"/>
  <c r="K44" i="12" s="1"/>
  <c r="F28" i="12"/>
  <c r="F38" i="12" s="1"/>
  <c r="F16" i="12"/>
  <c r="N13" i="15" s="1"/>
  <c r="N13" i="23" s="1"/>
  <c r="J28" i="12"/>
  <c r="E28" i="12"/>
  <c r="E38" i="12" s="1"/>
  <c r="K66" i="12"/>
  <c r="E16" i="12"/>
  <c r="N12" i="15" s="1"/>
  <c r="N12" i="23" s="1"/>
  <c r="K10" i="12"/>
  <c r="E53" i="12"/>
  <c r="E65" i="12" s="1"/>
  <c r="K46" i="12"/>
  <c r="L7" i="12" s="1"/>
  <c r="L8" i="12" s="1"/>
  <c r="N8" i="12" s="1"/>
  <c r="K19" i="12"/>
  <c r="J53" i="12"/>
  <c r="J65" i="12" s="1"/>
  <c r="K23" i="12"/>
  <c r="K49" i="12"/>
  <c r="F53" i="12"/>
  <c r="F67" i="12" s="1"/>
  <c r="F69" i="12" s="1"/>
  <c r="K57" i="12"/>
  <c r="K64" i="12"/>
  <c r="K5" i="12"/>
  <c r="D28" i="12"/>
  <c r="D38" i="12" s="1"/>
  <c r="M36" i="15" l="1"/>
  <c r="D53" i="12"/>
  <c r="D22" i="15"/>
  <c r="D19" i="23"/>
  <c r="G38" i="12"/>
  <c r="G31" i="20"/>
  <c r="J31" i="12"/>
  <c r="J38" i="12"/>
  <c r="L20" i="12"/>
  <c r="L21" i="12" s="1"/>
  <c r="L23" i="12" s="1"/>
  <c r="K56" i="12"/>
  <c r="G65" i="12"/>
  <c r="D29" i="12"/>
  <c r="D67" i="12"/>
  <c r="D69" i="12" s="1"/>
  <c r="H65" i="12"/>
  <c r="H31" i="12"/>
  <c r="H29" i="12"/>
  <c r="C29" i="12"/>
  <c r="E31" i="12"/>
  <c r="K28" i="12"/>
  <c r="C31" i="12"/>
  <c r="G31" i="12"/>
  <c r="F31" i="12"/>
  <c r="G29" i="12"/>
  <c r="E67" i="12"/>
  <c r="F29" i="12"/>
  <c r="E29" i="12"/>
  <c r="J67" i="12"/>
  <c r="J29" i="12"/>
  <c r="D31" i="12"/>
  <c r="K53" i="12"/>
  <c r="F65" i="12"/>
  <c r="K16" i="12"/>
  <c r="G32" i="20" l="1"/>
  <c r="D31" i="15"/>
  <c r="D22" i="23"/>
  <c r="M16" i="12"/>
  <c r="M18" i="12" s="1"/>
  <c r="M20" i="12" s="1"/>
  <c r="N36" i="15"/>
  <c r="G34" i="20"/>
  <c r="D65" i="12"/>
  <c r="K65" i="12" s="1"/>
  <c r="N22" i="15"/>
  <c r="N22" i="23" s="1"/>
  <c r="K67" i="12"/>
  <c r="K29" i="12"/>
  <c r="K31" i="12"/>
  <c r="M31" i="12" s="1"/>
  <c r="D31" i="23" l="1"/>
  <c r="D35" i="15"/>
  <c r="D35" i="23" s="1"/>
  <c r="AF41" i="16"/>
  <c r="AF36" i="16" l="1"/>
  <c r="F91" i="11" l="1"/>
  <c r="D91" i="11"/>
  <c r="AE19" i="16"/>
  <c r="AE23" i="16"/>
  <c r="AE20" i="16"/>
  <c r="AE18" i="16"/>
  <c r="E84" i="11" l="1"/>
  <c r="AE21" i="16"/>
  <c r="AE24" i="16" s="1"/>
  <c r="F38" i="28" l="1"/>
  <c r="F44" i="28" s="1"/>
  <c r="F79" i="14"/>
  <c r="F92" i="41" l="1"/>
  <c r="D10" i="37"/>
  <c r="L10" i="37" s="1"/>
  <c r="D15" i="37"/>
  <c r="L15" i="37" s="1"/>
  <c r="E64" i="28"/>
  <c r="G19" i="28"/>
  <c r="G20" i="28"/>
  <c r="G21" i="28" s="1"/>
  <c r="J91" i="11"/>
  <c r="I159" i="11"/>
  <c r="E65" i="14"/>
  <c r="D65" i="14"/>
  <c r="D28" i="28" l="1"/>
  <c r="AE168" i="16"/>
  <c r="AD169" i="16"/>
  <c r="AD168" i="16" l="1"/>
  <c r="AE169" i="16" s="1"/>
  <c r="N174" i="16"/>
  <c r="AB174" i="16"/>
  <c r="E80" i="22" l="1"/>
  <c r="D23" i="22"/>
  <c r="G22" i="22"/>
  <c r="D22" i="22"/>
  <c r="F13" i="13"/>
  <c r="F102" i="19" l="1"/>
  <c r="F109" i="19"/>
  <c r="H113" i="19"/>
  <c r="F113" i="19"/>
  <c r="H112" i="19"/>
  <c r="H111" i="19"/>
  <c r="F111" i="19"/>
  <c r="H110" i="19"/>
  <c r="F110" i="19"/>
  <c r="H109" i="19"/>
  <c r="H64" i="22"/>
  <c r="H59" i="22"/>
  <c r="H56" i="22"/>
  <c r="H49" i="22"/>
  <c r="H48" i="22"/>
  <c r="H45" i="22"/>
  <c r="H43" i="22"/>
  <c r="H42" i="22"/>
  <c r="P61" i="14"/>
  <c r="P60" i="14"/>
  <c r="P59" i="14"/>
  <c r="P58" i="14"/>
  <c r="P57" i="14"/>
  <c r="H50" i="22" s="1"/>
  <c r="P56" i="14"/>
  <c r="P55" i="14"/>
  <c r="P54" i="14"/>
  <c r="P53" i="14"/>
  <c r="P52" i="14"/>
  <c r="H55" i="22" s="1"/>
  <c r="P51" i="14"/>
  <c r="P50" i="14"/>
  <c r="P49" i="14"/>
  <c r="P48" i="14"/>
  <c r="P47" i="14"/>
  <c r="P46" i="14"/>
  <c r="H47" i="22" s="1"/>
  <c r="P45" i="14"/>
  <c r="H61" i="22" s="1"/>
  <c r="P44" i="14"/>
  <c r="P43" i="14"/>
  <c r="P42" i="14"/>
  <c r="N20" i="14"/>
  <c r="H32" i="14"/>
  <c r="H108" i="19"/>
  <c r="D50" i="39" l="1"/>
  <c r="H114" i="19"/>
  <c r="H60" i="22"/>
  <c r="H57" i="22"/>
  <c r="H54" i="22"/>
  <c r="G50" i="39" l="1"/>
  <c r="I50" i="39"/>
  <c r="K50" i="39"/>
  <c r="D94" i="19"/>
  <c r="E342" i="41" l="1"/>
  <c r="E266" i="28" l="1"/>
  <c r="F342" i="41" l="1"/>
  <c r="E346" i="41"/>
  <c r="F346" i="41" s="1"/>
  <c r="G151" i="20" l="1"/>
  <c r="F151" i="20"/>
  <c r="E140" i="20"/>
  <c r="E141" i="20" s="1"/>
  <c r="E142" i="20" s="1"/>
  <c r="E143" i="20" s="1"/>
  <c r="E144" i="20" s="1"/>
  <c r="E145" i="20" s="1"/>
  <c r="E146" i="20" s="1"/>
  <c r="E147" i="20" s="1"/>
  <c r="E148" i="20" s="1"/>
  <c r="E149" i="20" s="1"/>
  <c r="E150" i="20" s="1"/>
  <c r="H134" i="20"/>
  <c r="H132" i="20"/>
  <c r="J129" i="20"/>
  <c r="H133" i="20" s="1"/>
  <c r="K125" i="20"/>
  <c r="K126" i="20" s="1"/>
  <c r="J126" i="20"/>
  <c r="I64" i="20"/>
  <c r="H64" i="20"/>
  <c r="G64" i="20"/>
  <c r="F64" i="20"/>
  <c r="E64" i="20"/>
  <c r="C64" i="20"/>
  <c r="I63" i="20"/>
  <c r="H63" i="20"/>
  <c r="G63" i="20"/>
  <c r="F63" i="20"/>
  <c r="E63" i="20"/>
  <c r="D63" i="20"/>
  <c r="C63" i="20"/>
  <c r="I62" i="20"/>
  <c r="H62" i="20"/>
  <c r="G62" i="20"/>
  <c r="F62" i="20"/>
  <c r="E62" i="20"/>
  <c r="C62" i="20"/>
  <c r="I61" i="20"/>
  <c r="H61" i="20"/>
  <c r="G61" i="20"/>
  <c r="F61" i="20"/>
  <c r="E61" i="20"/>
  <c r="C61" i="20"/>
  <c r="I60" i="20"/>
  <c r="H60" i="20"/>
  <c r="G60" i="20"/>
  <c r="F60" i="20"/>
  <c r="E60" i="20"/>
  <c r="D60" i="20"/>
  <c r="C60" i="20"/>
  <c r="I59" i="20"/>
  <c r="H59" i="20"/>
  <c r="G59" i="20"/>
  <c r="F59" i="20"/>
  <c r="E59" i="20"/>
  <c r="D59" i="20"/>
  <c r="C59" i="20"/>
  <c r="I58" i="20"/>
  <c r="H58" i="20"/>
  <c r="G58" i="20"/>
  <c r="F58" i="20"/>
  <c r="E58" i="20"/>
  <c r="D58" i="20"/>
  <c r="C58" i="20"/>
  <c r="I57" i="20"/>
  <c r="H57" i="20"/>
  <c r="G57" i="20"/>
  <c r="F57" i="20"/>
  <c r="E57" i="20"/>
  <c r="D57" i="20"/>
  <c r="C57" i="20"/>
  <c r="I56" i="20"/>
  <c r="H56" i="20"/>
  <c r="G56" i="20"/>
  <c r="F56" i="20"/>
  <c r="E56" i="20"/>
  <c r="D56" i="20"/>
  <c r="C56" i="20"/>
  <c r="I55" i="20"/>
  <c r="H55" i="20"/>
  <c r="G55" i="20"/>
  <c r="F55" i="20"/>
  <c r="E55" i="20"/>
  <c r="D55" i="20"/>
  <c r="C55" i="20"/>
  <c r="I54" i="20"/>
  <c r="H54" i="20"/>
  <c r="G54" i="20"/>
  <c r="F54" i="20"/>
  <c r="E54" i="20"/>
  <c r="D54" i="20"/>
  <c r="C54" i="20"/>
  <c r="I53" i="20"/>
  <c r="H53" i="20"/>
  <c r="G53" i="20"/>
  <c r="F53" i="20"/>
  <c r="E53" i="20"/>
  <c r="C53" i="20"/>
  <c r="I52" i="20"/>
  <c r="H52" i="20"/>
  <c r="G52" i="20"/>
  <c r="F52" i="20"/>
  <c r="E52" i="20"/>
  <c r="D52" i="20"/>
  <c r="C52" i="20"/>
  <c r="I51" i="20"/>
  <c r="H51" i="20"/>
  <c r="G51" i="20"/>
  <c r="F51" i="20"/>
  <c r="E51" i="20"/>
  <c r="D51" i="20"/>
  <c r="C51" i="20"/>
  <c r="I50" i="20"/>
  <c r="H50" i="20"/>
  <c r="G50" i="20"/>
  <c r="F50" i="20"/>
  <c r="E50" i="20"/>
  <c r="C50" i="20"/>
  <c r="I49" i="20"/>
  <c r="H49" i="20"/>
  <c r="G49" i="20"/>
  <c r="F49" i="20"/>
  <c r="E49" i="20"/>
  <c r="D49" i="20"/>
  <c r="C49" i="20"/>
  <c r="I48" i="20"/>
  <c r="H48" i="20"/>
  <c r="G48" i="20"/>
  <c r="F48" i="20"/>
  <c r="E48" i="20"/>
  <c r="D48" i="20"/>
  <c r="C48" i="20"/>
  <c r="I47" i="20"/>
  <c r="H47" i="20"/>
  <c r="G47" i="20"/>
  <c r="F47" i="20"/>
  <c r="E47" i="20"/>
  <c r="D47" i="20"/>
  <c r="C47" i="20"/>
  <c r="I46" i="20"/>
  <c r="H46" i="20"/>
  <c r="G46" i="20"/>
  <c r="F46" i="20"/>
  <c r="E46" i="20"/>
  <c r="D46" i="20"/>
  <c r="C46" i="20"/>
  <c r="I45" i="20"/>
  <c r="H45" i="20"/>
  <c r="G45" i="20"/>
  <c r="F45" i="20"/>
  <c r="E45" i="20"/>
  <c r="D45" i="20"/>
  <c r="C45" i="20"/>
  <c r="I44" i="20"/>
  <c r="H44" i="20"/>
  <c r="G44" i="20"/>
  <c r="F44" i="20"/>
  <c r="E44" i="20"/>
  <c r="D44" i="20"/>
  <c r="C44" i="20"/>
  <c r="I43" i="20"/>
  <c r="H43" i="20"/>
  <c r="G43" i="20"/>
  <c r="F43" i="20"/>
  <c r="E43" i="20"/>
  <c r="D43" i="20"/>
  <c r="C43" i="20"/>
  <c r="I42" i="20"/>
  <c r="H42" i="20"/>
  <c r="G42" i="20"/>
  <c r="F42" i="20"/>
  <c r="E42" i="20"/>
  <c r="D42" i="20"/>
  <c r="C42" i="20"/>
  <c r="I41" i="20"/>
  <c r="H41" i="20"/>
  <c r="G41" i="20"/>
  <c r="F41" i="20"/>
  <c r="E41" i="20"/>
  <c r="C41" i="20"/>
  <c r="I40" i="20"/>
  <c r="H40" i="20"/>
  <c r="G40" i="20"/>
  <c r="F40" i="20"/>
  <c r="E40" i="20"/>
  <c r="D40" i="20"/>
  <c r="C40" i="20"/>
  <c r="I30" i="20"/>
  <c r="H30" i="20"/>
  <c r="F30" i="20"/>
  <c r="E30" i="20"/>
  <c r="D30" i="20"/>
  <c r="I29" i="20"/>
  <c r="H29" i="20"/>
  <c r="F29" i="20"/>
  <c r="E29" i="20"/>
  <c r="D29" i="20"/>
  <c r="I28" i="20"/>
  <c r="H28" i="20"/>
  <c r="F28" i="20"/>
  <c r="E28" i="20"/>
  <c r="D28" i="20"/>
  <c r="I27" i="20"/>
  <c r="H27" i="20"/>
  <c r="F27" i="20"/>
  <c r="E27" i="20"/>
  <c r="D27" i="20"/>
  <c r="I25" i="20"/>
  <c r="H25" i="20"/>
  <c r="F25" i="20"/>
  <c r="E25" i="20"/>
  <c r="D25" i="20"/>
  <c r="I24" i="20"/>
  <c r="H24" i="20"/>
  <c r="F24" i="20"/>
  <c r="E24" i="20"/>
  <c r="D24" i="20"/>
  <c r="I23" i="20"/>
  <c r="H23" i="20"/>
  <c r="F23" i="20"/>
  <c r="E23" i="20"/>
  <c r="D23" i="20"/>
  <c r="I21" i="20"/>
  <c r="H21" i="20"/>
  <c r="F21" i="20"/>
  <c r="E21" i="20"/>
  <c r="D21" i="20"/>
  <c r="I18" i="20"/>
  <c r="H18" i="20"/>
  <c r="G18" i="20"/>
  <c r="F18" i="20"/>
  <c r="E18" i="20"/>
  <c r="D18" i="20"/>
  <c r="I17" i="20"/>
  <c r="H17" i="20"/>
  <c r="G17" i="20"/>
  <c r="F17" i="20"/>
  <c r="E17" i="20"/>
  <c r="D17" i="20"/>
  <c r="I16" i="20"/>
  <c r="H16" i="20"/>
  <c r="G16" i="20"/>
  <c r="F16" i="20"/>
  <c r="E16" i="20"/>
  <c r="D16" i="20"/>
  <c r="I15" i="20"/>
  <c r="H15" i="20"/>
  <c r="G15" i="20"/>
  <c r="F15" i="20"/>
  <c r="E15" i="20"/>
  <c r="D15" i="20"/>
  <c r="I14" i="20"/>
  <c r="H14" i="20"/>
  <c r="G14" i="20"/>
  <c r="F14" i="20"/>
  <c r="E14" i="20"/>
  <c r="D14" i="20"/>
  <c r="I12" i="20"/>
  <c r="H12" i="20"/>
  <c r="G12" i="20"/>
  <c r="F12" i="20"/>
  <c r="E12" i="20"/>
  <c r="D12" i="20"/>
  <c r="I11" i="20"/>
  <c r="H11" i="20"/>
  <c r="G11" i="20"/>
  <c r="F11" i="20"/>
  <c r="E11" i="20"/>
  <c r="D11" i="20"/>
  <c r="I10" i="20"/>
  <c r="H10" i="20"/>
  <c r="G10" i="20"/>
  <c r="F10" i="20"/>
  <c r="E10" i="20"/>
  <c r="E35" i="20" s="1"/>
  <c r="D10" i="20"/>
  <c r="I9" i="20"/>
  <c r="H9" i="20"/>
  <c r="G9" i="20"/>
  <c r="F9" i="20"/>
  <c r="E9" i="20"/>
  <c r="D9" i="20"/>
  <c r="I7" i="20"/>
  <c r="I156" i="20" s="1"/>
  <c r="H7" i="20"/>
  <c r="H156" i="20" s="1"/>
  <c r="G156" i="20"/>
  <c r="F7" i="20"/>
  <c r="F156" i="20" s="1"/>
  <c r="E7" i="20"/>
  <c r="E156" i="20" s="1"/>
  <c r="D7" i="20"/>
  <c r="D156" i="20" s="1"/>
  <c r="C34" i="20"/>
  <c r="C33" i="20"/>
  <c r="C30" i="20"/>
  <c r="C29" i="20"/>
  <c r="C28" i="20"/>
  <c r="C27" i="20"/>
  <c r="C25" i="20"/>
  <c r="C24" i="20"/>
  <c r="C23" i="20"/>
  <c r="C21" i="20"/>
  <c r="C18" i="20"/>
  <c r="C17" i="20"/>
  <c r="C16" i="20"/>
  <c r="C15" i="20"/>
  <c r="C14" i="20"/>
  <c r="C13" i="20"/>
  <c r="C12" i="20"/>
  <c r="C11" i="20"/>
  <c r="C10" i="20"/>
  <c r="C9" i="20"/>
  <c r="C8" i="20"/>
  <c r="C7" i="20"/>
  <c r="F35" i="20" l="1"/>
  <c r="H35" i="20"/>
  <c r="I35" i="20"/>
  <c r="D35" i="20"/>
  <c r="G35" i="20"/>
  <c r="J51" i="20"/>
  <c r="K51" i="20" s="1"/>
  <c r="J57" i="20"/>
  <c r="K57" i="20" s="1"/>
  <c r="F22" i="20"/>
  <c r="D26" i="20"/>
  <c r="D22" i="20"/>
  <c r="J42" i="20"/>
  <c r="K42" i="20" s="1"/>
  <c r="J44" i="20"/>
  <c r="K44" i="20" s="1"/>
  <c r="J46" i="20"/>
  <c r="K46" i="20" s="1"/>
  <c r="J47" i="20"/>
  <c r="K47" i="20" s="1"/>
  <c r="J48" i="20"/>
  <c r="K48" i="20" s="1"/>
  <c r="J54" i="20"/>
  <c r="K54" i="20" s="1"/>
  <c r="J55" i="20"/>
  <c r="K55" i="20" s="1"/>
  <c r="J56" i="20"/>
  <c r="K56" i="20" s="1"/>
  <c r="J58" i="20"/>
  <c r="K58" i="20" s="1"/>
  <c r="J59" i="20"/>
  <c r="K59" i="20" s="1"/>
  <c r="J60" i="20"/>
  <c r="K60" i="20" s="1"/>
  <c r="D160" i="20"/>
  <c r="D163" i="20"/>
  <c r="H160" i="20"/>
  <c r="H163" i="20"/>
  <c r="G160" i="20"/>
  <c r="G163" i="20"/>
  <c r="F163" i="20"/>
  <c r="F160" i="20"/>
  <c r="E163" i="20"/>
  <c r="E160" i="20"/>
  <c r="I163" i="20"/>
  <c r="I160" i="20"/>
  <c r="J45" i="20"/>
  <c r="K45" i="20" s="1"/>
  <c r="J49" i="20"/>
  <c r="K49" i="20" s="1"/>
  <c r="J52" i="20"/>
  <c r="K52" i="20" s="1"/>
  <c r="J18" i="20"/>
  <c r="K18" i="20" s="1"/>
  <c r="I22" i="20"/>
  <c r="J43" i="20"/>
  <c r="K43" i="20" s="1"/>
  <c r="K129" i="20"/>
  <c r="L125" i="20"/>
  <c r="H26" i="20"/>
  <c r="J25" i="20"/>
  <c r="K25" i="20" s="1"/>
  <c r="J40" i="20"/>
  <c r="K40" i="20" s="1"/>
  <c r="J63" i="20"/>
  <c r="K63" i="20" s="1"/>
  <c r="E22" i="20"/>
  <c r="J15" i="20"/>
  <c r="K15" i="20" s="1"/>
  <c r="J24" i="20"/>
  <c r="K24" i="20" s="1"/>
  <c r="J28" i="20"/>
  <c r="K28" i="20" s="1"/>
  <c r="J29" i="20"/>
  <c r="K29" i="20" s="1"/>
  <c r="H22" i="20"/>
  <c r="C19" i="20"/>
  <c r="J10" i="20"/>
  <c r="J14" i="20"/>
  <c r="K14" i="20" s="1"/>
  <c r="J16" i="20"/>
  <c r="K16" i="20" s="1"/>
  <c r="J21" i="20"/>
  <c r="K21" i="20" s="1"/>
  <c r="J23" i="20"/>
  <c r="K23" i="20" s="1"/>
  <c r="J9" i="20"/>
  <c r="K9" i="20" s="1"/>
  <c r="C22" i="20"/>
  <c r="J7" i="20"/>
  <c r="K7" i="20" s="1"/>
  <c r="J11" i="20"/>
  <c r="K11" i="20" s="1"/>
  <c r="J17" i="20"/>
  <c r="K17" i="20" s="1"/>
  <c r="F26" i="20"/>
  <c r="J30" i="20"/>
  <c r="K30" i="20" s="1"/>
  <c r="J27" i="20"/>
  <c r="K27" i="20" s="1"/>
  <c r="C26" i="20"/>
  <c r="E26" i="20"/>
  <c r="I26" i="20"/>
  <c r="J12" i="20"/>
  <c r="K12" i="20" s="1"/>
  <c r="K10" i="20" l="1"/>
  <c r="J35" i="20"/>
  <c r="F31" i="20"/>
  <c r="D31" i="20"/>
  <c r="E31" i="20"/>
  <c r="J26" i="20"/>
  <c r="I31" i="20"/>
  <c r="J22" i="20"/>
  <c r="K22" i="20" s="1"/>
  <c r="L129" i="20"/>
  <c r="H135" i="20"/>
  <c r="H136" i="20" s="1"/>
  <c r="H31" i="20"/>
  <c r="C31" i="20"/>
  <c r="C32" i="20" s="1"/>
  <c r="J33" i="20"/>
  <c r="K33" i="20" s="1"/>
  <c r="J31" i="20" l="1"/>
  <c r="K31" i="20" s="1"/>
  <c r="K26" i="20"/>
  <c r="D41" i="20"/>
  <c r="J41" i="20" s="1"/>
  <c r="K41" i="20" s="1"/>
  <c r="I33" i="20"/>
  <c r="H33" i="20"/>
  <c r="O43" i="20" s="1"/>
  <c r="N43" i="20"/>
  <c r="F33" i="20"/>
  <c r="M43" i="20" s="1"/>
  <c r="E33" i="20"/>
  <c r="L43" i="20" s="1"/>
  <c r="D33" i="20"/>
  <c r="I13" i="20"/>
  <c r="H13" i="20"/>
  <c r="G13" i="20"/>
  <c r="F13" i="20"/>
  <c r="E13" i="20"/>
  <c r="D13" i="20"/>
  <c r="I8" i="20"/>
  <c r="H8" i="20"/>
  <c r="F8" i="20"/>
  <c r="E8" i="20"/>
  <c r="I19" i="20" l="1"/>
  <c r="I32" i="20" s="1"/>
  <c r="F19" i="20"/>
  <c r="F32" i="20" s="1"/>
  <c r="H19" i="20"/>
  <c r="H32" i="20" s="1"/>
  <c r="D53" i="20"/>
  <c r="J53" i="20" s="1"/>
  <c r="K53" i="20" s="1"/>
  <c r="D8" i="20"/>
  <c r="G8" i="20"/>
  <c r="G19" i="20" s="1"/>
  <c r="J13" i="20"/>
  <c r="K13" i="20" s="1"/>
  <c r="E19" i="20"/>
  <c r="E32" i="20" s="1"/>
  <c r="D50" i="20"/>
  <c r="J50" i="20" s="1"/>
  <c r="K50" i="20" s="1"/>
  <c r="D61" i="20" l="1"/>
  <c r="J61" i="20" s="1"/>
  <c r="K61" i="20" s="1"/>
  <c r="D19" i="20"/>
  <c r="D32" i="20" s="1"/>
  <c r="J8" i="20"/>
  <c r="I34" i="20"/>
  <c r="D34" i="20"/>
  <c r="H34" i="20"/>
  <c r="O44" i="20" s="1"/>
  <c r="N44" i="20"/>
  <c r="D62" i="20"/>
  <c r="J62" i="20" s="1"/>
  <c r="K62" i="20" s="1"/>
  <c r="J19" i="20" l="1"/>
  <c r="K19" i="20" s="1"/>
  <c r="K8" i="20"/>
  <c r="D64" i="20"/>
  <c r="J64" i="20" s="1"/>
  <c r="H137" i="20"/>
  <c r="F34" i="20"/>
  <c r="M44" i="20" s="1"/>
  <c r="E34" i="20"/>
  <c r="L44" i="20" s="1"/>
  <c r="K64" i="20" l="1"/>
  <c r="K65" i="20"/>
  <c r="J34" i="20"/>
  <c r="K34" i="20" s="1"/>
  <c r="J32" i="20"/>
  <c r="K32" i="20" s="1"/>
  <c r="C154" i="19"/>
  <c r="A148" i="19"/>
  <c r="B97" i="21"/>
  <c r="C72" i="21"/>
  <c r="G72" i="21" s="1"/>
  <c r="C74" i="21"/>
  <c r="G74" i="21" s="1"/>
  <c r="C75" i="21"/>
  <c r="G75" i="21" s="1"/>
  <c r="C76" i="21"/>
  <c r="G76" i="21" s="1"/>
  <c r="C77" i="21"/>
  <c r="G77" i="21" s="1"/>
  <c r="C78" i="21"/>
  <c r="G78" i="21" s="1"/>
  <c r="G78" i="13"/>
  <c r="G77" i="13"/>
  <c r="G76" i="13"/>
  <c r="G75" i="13"/>
  <c r="G74" i="13"/>
  <c r="G72" i="13"/>
  <c r="F108" i="19"/>
  <c r="H31" i="14" l="1"/>
  <c r="H29" i="14"/>
  <c r="H30" i="14"/>
  <c r="K80" i="29"/>
  <c r="K79" i="29"/>
  <c r="K78" i="29"/>
  <c r="K77" i="29"/>
  <c r="K76" i="29"/>
  <c r="K75" i="29"/>
  <c r="K74" i="29"/>
  <c r="K73" i="29"/>
  <c r="K84" i="29" l="1"/>
  <c r="N84" i="29" s="1"/>
  <c r="K81" i="29"/>
  <c r="K83" i="29"/>
  <c r="N83" i="29" s="1"/>
  <c r="H53" i="22" l="1"/>
  <c r="H58" i="22"/>
  <c r="H46" i="22"/>
  <c r="H52" i="22"/>
  <c r="P62" i="14" l="1"/>
  <c r="F80" i="14"/>
  <c r="F78" i="14" s="1"/>
  <c r="H63" i="22"/>
  <c r="H51" i="22"/>
  <c r="H78" i="14" l="1"/>
  <c r="H62" i="22"/>
  <c r="H41" i="22"/>
  <c r="D23" i="39" l="1"/>
  <c r="G23" i="39" l="1"/>
  <c r="I23" i="39"/>
  <c r="K23" i="39"/>
  <c r="D36" i="39" l="1"/>
  <c r="G36" i="39" l="1"/>
  <c r="I36" i="39"/>
  <c r="K36" i="39"/>
  <c r="N34" i="20"/>
  <c r="N20" i="20"/>
  <c r="N12" i="20"/>
  <c r="D40" i="23"/>
  <c r="D38" i="21" l="1"/>
  <c r="D65" i="22" l="1"/>
  <c r="E48" i="13" l="1"/>
  <c r="E48" i="21" s="1"/>
  <c r="D53" i="39"/>
  <c r="D52" i="39"/>
  <c r="D51" i="39"/>
  <c r="D47" i="39"/>
  <c r="D45" i="39"/>
  <c r="D46" i="39"/>
  <c r="D39" i="39"/>
  <c r="D38" i="39"/>
  <c r="D37" i="39"/>
  <c r="D33" i="39"/>
  <c r="D32" i="39"/>
  <c r="D31" i="39"/>
  <c r="D30" i="39"/>
  <c r="D29" i="39"/>
  <c r="D28" i="39"/>
  <c r="D22" i="39"/>
  <c r="D20" i="39"/>
  <c r="D19" i="39"/>
  <c r="D18" i="39"/>
  <c r="D17" i="39"/>
  <c r="D16" i="39"/>
  <c r="D15" i="39"/>
  <c r="D13" i="39"/>
  <c r="D8" i="39"/>
  <c r="F370" i="41"/>
  <c r="F354" i="41"/>
  <c r="F355" i="41"/>
  <c r="F357" i="41"/>
  <c r="E218" i="41"/>
  <c r="E150" i="28"/>
  <c r="D22" i="37"/>
  <c r="J79" i="41"/>
  <c r="F36" i="41"/>
  <c r="E10" i="41"/>
  <c r="D10" i="28"/>
  <c r="D27" i="39"/>
  <c r="L27" i="20"/>
  <c r="H72" i="22"/>
  <c r="F32" i="22"/>
  <c r="F31" i="22"/>
  <c r="F30" i="22"/>
  <c r="F29" i="22"/>
  <c r="G13" i="22"/>
  <c r="G11" i="22"/>
  <c r="G7" i="22"/>
  <c r="D13" i="22"/>
  <c r="D11" i="22"/>
  <c r="D7" i="22"/>
  <c r="G5" i="22"/>
  <c r="D5" i="22"/>
  <c r="H115" i="22"/>
  <c r="F115" i="22"/>
  <c r="F88" i="22"/>
  <c r="G81" i="22"/>
  <c r="F81" i="22"/>
  <c r="E81" i="22"/>
  <c r="F73" i="22"/>
  <c r="E65" i="22"/>
  <c r="C63" i="21"/>
  <c r="C66" i="21" s="1"/>
  <c r="G50" i="21"/>
  <c r="G49" i="21"/>
  <c r="F49" i="21"/>
  <c r="G48" i="21"/>
  <c r="E50" i="21"/>
  <c r="E49" i="21"/>
  <c r="D49" i="21"/>
  <c r="G22" i="21"/>
  <c r="G23" i="21" s="1"/>
  <c r="E22" i="21"/>
  <c r="E23" i="21" s="1"/>
  <c r="D13" i="21"/>
  <c r="G65" i="21"/>
  <c r="G64" i="21"/>
  <c r="D39" i="21"/>
  <c r="H92" i="20"/>
  <c r="F92" i="20"/>
  <c r="G74" i="20"/>
  <c r="E162" i="19"/>
  <c r="H141" i="19"/>
  <c r="H137" i="19"/>
  <c r="G137" i="19"/>
  <c r="F137" i="19"/>
  <c r="E137" i="19"/>
  <c r="D137" i="19"/>
  <c r="C137" i="19"/>
  <c r="H136" i="19"/>
  <c r="G136" i="19"/>
  <c r="F136" i="19"/>
  <c r="E136" i="19"/>
  <c r="D136" i="19"/>
  <c r="C136" i="19"/>
  <c r="H134" i="19"/>
  <c r="G134" i="19"/>
  <c r="F134" i="19"/>
  <c r="E134" i="19"/>
  <c r="D134" i="19"/>
  <c r="C134" i="19"/>
  <c r="H133" i="19"/>
  <c r="G133" i="19"/>
  <c r="F133" i="19"/>
  <c r="E133" i="19"/>
  <c r="D133" i="19"/>
  <c r="C133" i="19"/>
  <c r="H132" i="19"/>
  <c r="F100" i="19"/>
  <c r="H126" i="19"/>
  <c r="F126" i="19"/>
  <c r="H93" i="19"/>
  <c r="H4" i="19"/>
  <c r="A3" i="19"/>
  <c r="D13" i="8" l="1"/>
  <c r="G10" i="8"/>
  <c r="D43" i="37"/>
  <c r="L43" i="37" s="1"/>
  <c r="D50" i="37"/>
  <c r="L50" i="37" s="1"/>
  <c r="D13" i="37"/>
  <c r="L13" i="37" s="1"/>
  <c r="D17" i="37"/>
  <c r="L17" i="37" s="1"/>
  <c r="D38" i="37"/>
  <c r="L38" i="37" s="1"/>
  <c r="D45" i="37"/>
  <c r="L45" i="37" s="1"/>
  <c r="D23" i="37"/>
  <c r="L23" i="37" s="1"/>
  <c r="D25" i="37"/>
  <c r="L25" i="37" s="1"/>
  <c r="F283" i="41"/>
  <c r="E221" i="41"/>
  <c r="F221" i="41" s="1"/>
  <c r="F236" i="41"/>
  <c r="E198" i="41"/>
  <c r="F340" i="41"/>
  <c r="F259" i="28"/>
  <c r="D24" i="37"/>
  <c r="L24" i="37" s="1"/>
  <c r="G148" i="28"/>
  <c r="G149" i="28" s="1"/>
  <c r="G150" i="28" s="1"/>
  <c r="D42" i="37"/>
  <c r="L42" i="37" s="1"/>
  <c r="D35" i="37"/>
  <c r="L35" i="37" s="1"/>
  <c r="D49" i="37"/>
  <c r="L49" i="37" s="1"/>
  <c r="D36" i="37"/>
  <c r="L36" i="37" s="1"/>
  <c r="D9" i="37"/>
  <c r="D11" i="37"/>
  <c r="L11" i="37" s="1"/>
  <c r="D39" i="37"/>
  <c r="L39" i="37" s="1"/>
  <c r="D40" i="37"/>
  <c r="L40" i="37" s="1"/>
  <c r="D52" i="37"/>
  <c r="L52" i="37" s="1"/>
  <c r="D37" i="37"/>
  <c r="L37" i="37" s="1"/>
  <c r="D27" i="37"/>
  <c r="L27" i="37" s="1"/>
  <c r="D41" i="37"/>
  <c r="L41" i="37" s="1"/>
  <c r="D14" i="37"/>
  <c r="L14" i="37" s="1"/>
  <c r="D16" i="37"/>
  <c r="L16" i="37" s="1"/>
  <c r="D41" i="39"/>
  <c r="D35" i="39" s="1"/>
  <c r="K29" i="39"/>
  <c r="G29" i="39"/>
  <c r="I29" i="39"/>
  <c r="K47" i="39"/>
  <c r="G47" i="39"/>
  <c r="I47" i="39"/>
  <c r="G30" i="39"/>
  <c r="I30" i="39"/>
  <c r="K30" i="39"/>
  <c r="K33" i="39"/>
  <c r="G33" i="39"/>
  <c r="I33" i="39"/>
  <c r="G51" i="39"/>
  <c r="K51" i="39"/>
  <c r="I51" i="39"/>
  <c r="I37" i="39"/>
  <c r="K37" i="39"/>
  <c r="G37" i="39"/>
  <c r="K52" i="39"/>
  <c r="G52" i="39"/>
  <c r="I52" i="39"/>
  <c r="K38" i="39"/>
  <c r="I38" i="39"/>
  <c r="G38" i="39"/>
  <c r="I46" i="39"/>
  <c r="G46" i="39"/>
  <c r="K46" i="39"/>
  <c r="K28" i="39"/>
  <c r="I28" i="39"/>
  <c r="G28" i="39"/>
  <c r="D26" i="37"/>
  <c r="L26" i="37" s="1"/>
  <c r="I58" i="39"/>
  <c r="L22" i="37"/>
  <c r="I31" i="39"/>
  <c r="K31" i="39"/>
  <c r="G31" i="39"/>
  <c r="K53" i="39"/>
  <c r="I53" i="39"/>
  <c r="G53" i="39"/>
  <c r="D49" i="39"/>
  <c r="G45" i="39"/>
  <c r="D44" i="39"/>
  <c r="K45" i="39"/>
  <c r="I45" i="39"/>
  <c r="I32" i="39"/>
  <c r="K32" i="39"/>
  <c r="G32" i="39"/>
  <c r="K27" i="39"/>
  <c r="I27" i="39"/>
  <c r="G27" i="39"/>
  <c r="D26" i="39"/>
  <c r="D21" i="39"/>
  <c r="D14" i="39" s="1"/>
  <c r="G17" i="39"/>
  <c r="K17" i="39"/>
  <c r="I17" i="39"/>
  <c r="K19" i="39"/>
  <c r="I19" i="39"/>
  <c r="G19" i="39"/>
  <c r="K16" i="39"/>
  <c r="I16" i="39"/>
  <c r="G16" i="39"/>
  <c r="K20" i="39"/>
  <c r="G20" i="39"/>
  <c r="I20" i="39"/>
  <c r="I18" i="39"/>
  <c r="K18" i="39"/>
  <c r="G18" i="39"/>
  <c r="I8" i="39"/>
  <c r="G8" i="39"/>
  <c r="K8" i="39"/>
  <c r="D7" i="39"/>
  <c r="G13" i="39"/>
  <c r="I13" i="39"/>
  <c r="K13" i="39"/>
  <c r="K22" i="39"/>
  <c r="G22" i="39"/>
  <c r="I22" i="39"/>
  <c r="G15" i="39"/>
  <c r="I15" i="39"/>
  <c r="K15" i="39"/>
  <c r="I39" i="39"/>
  <c r="K39" i="39"/>
  <c r="G39" i="39"/>
  <c r="E270" i="28"/>
  <c r="E274" i="28" s="1"/>
  <c r="E275" i="28" s="1"/>
  <c r="E436" i="28"/>
  <c r="E437" i="28" s="1"/>
  <c r="E435" i="28"/>
  <c r="F343" i="28"/>
  <c r="F344" i="28" s="1"/>
  <c r="E344" i="28"/>
  <c r="F189" i="28"/>
  <c r="E181" i="28"/>
  <c r="H207" i="28"/>
  <c r="L137" i="28"/>
  <c r="L138" i="28" s="1"/>
  <c r="L145" i="28" s="1"/>
  <c r="E165" i="28"/>
  <c r="E168" i="28" s="1"/>
  <c r="E169" i="28" s="1"/>
  <c r="F107" i="28"/>
  <c r="K86" i="29"/>
  <c r="K82" i="29" s="1"/>
  <c r="N82" i="29" s="1"/>
  <c r="E284" i="28"/>
  <c r="E28" i="28"/>
  <c r="J100" i="11"/>
  <c r="K92" i="11"/>
  <c r="H66" i="14"/>
  <c r="F180" i="28"/>
  <c r="F181" i="28" s="1"/>
  <c r="I207" i="28"/>
  <c r="I208" i="28" s="1"/>
  <c r="J88" i="14"/>
  <c r="J24" i="14"/>
  <c r="G159" i="19"/>
  <c r="C73" i="13"/>
  <c r="F38" i="21"/>
  <c r="F39" i="21" s="1"/>
  <c r="F38" i="13"/>
  <c r="J33" i="14"/>
  <c r="K77" i="11"/>
  <c r="I6" i="13"/>
  <c r="J23" i="13"/>
  <c r="I16" i="13"/>
  <c r="J73" i="14"/>
  <c r="J73" i="22"/>
  <c r="F50" i="13"/>
  <c r="N11" i="20"/>
  <c r="N9" i="20"/>
  <c r="N32" i="20"/>
  <c r="N28" i="20"/>
  <c r="N27" i="20"/>
  <c r="N23" i="20"/>
  <c r="D30" i="5"/>
  <c r="F103" i="19"/>
  <c r="N7" i="20"/>
  <c r="N26" i="20"/>
  <c r="N22" i="20"/>
  <c r="N18" i="20"/>
  <c r="N17" i="20"/>
  <c r="N16" i="20"/>
  <c r="N15" i="20"/>
  <c r="N14" i="20"/>
  <c r="N13" i="20"/>
  <c r="N29" i="20"/>
  <c r="N10" i="20"/>
  <c r="N25" i="20"/>
  <c r="N21" i="20"/>
  <c r="N24" i="20"/>
  <c r="J65" i="22"/>
  <c r="G23" i="14"/>
  <c r="G23" i="22" s="1"/>
  <c r="G12" i="14"/>
  <c r="J14" i="14"/>
  <c r="I136" i="19"/>
  <c r="L12" i="20"/>
  <c r="I134" i="19"/>
  <c r="I133" i="19"/>
  <c r="I137" i="19"/>
  <c r="F33" i="22"/>
  <c r="L54" i="37" l="1"/>
  <c r="D54" i="37"/>
  <c r="L47" i="37"/>
  <c r="L55" i="37" s="1"/>
  <c r="H283" i="41"/>
  <c r="F285" i="41"/>
  <c r="G198" i="41"/>
  <c r="G199" i="41" s="1"/>
  <c r="H199" i="41" s="1"/>
  <c r="E199" i="41"/>
  <c r="D47" i="37"/>
  <c r="G41" i="39"/>
  <c r="I41" i="39"/>
  <c r="K41" i="39"/>
  <c r="D30" i="37"/>
  <c r="L30" i="37"/>
  <c r="L9" i="37"/>
  <c r="D19" i="37"/>
  <c r="K49" i="39"/>
  <c r="G49" i="39"/>
  <c r="I49" i="39"/>
  <c r="K44" i="39"/>
  <c r="I44" i="39"/>
  <c r="G44" i="39"/>
  <c r="D55" i="39"/>
  <c r="I26" i="39"/>
  <c r="K26" i="39"/>
  <c r="G26" i="39"/>
  <c r="I21" i="39"/>
  <c r="K21" i="39"/>
  <c r="G21" i="39"/>
  <c r="K14" i="39"/>
  <c r="G14" i="39"/>
  <c r="D24" i="39"/>
  <c r="K7" i="39"/>
  <c r="I7" i="39"/>
  <c r="G7" i="39"/>
  <c r="K35" i="39"/>
  <c r="I35" i="39"/>
  <c r="G35" i="39"/>
  <c r="D42" i="39"/>
  <c r="J56" i="28"/>
  <c r="E154" i="28"/>
  <c r="E155" i="28" s="1"/>
  <c r="C73" i="21"/>
  <c r="G73" i="21" s="1"/>
  <c r="G73" i="13"/>
  <c r="L28" i="20"/>
  <c r="L30" i="20"/>
  <c r="N19" i="20"/>
  <c r="L19" i="20"/>
  <c r="N8" i="20"/>
  <c r="N33" i="20"/>
  <c r="N30" i="20"/>
  <c r="N31" i="20"/>
  <c r="D55" i="37" l="1"/>
  <c r="L19" i="37"/>
  <c r="L31" i="37" s="1"/>
  <c r="E62" i="39"/>
  <c r="D31" i="37"/>
  <c r="K55" i="39"/>
  <c r="G55" i="39"/>
  <c r="K24" i="39"/>
  <c r="D56" i="39"/>
  <c r="G24" i="39"/>
  <c r="I24" i="39"/>
  <c r="I42" i="39"/>
  <c r="G42" i="39"/>
  <c r="K42" i="39"/>
  <c r="F80" i="18"/>
  <c r="H31" i="22"/>
  <c r="H32" i="22"/>
  <c r="H29" i="22"/>
  <c r="H75" i="18"/>
  <c r="J75" i="18" s="1"/>
  <c r="E80" i="18"/>
  <c r="F79" i="18"/>
  <c r="E79" i="18"/>
  <c r="I77" i="18"/>
  <c r="H77" i="18"/>
  <c r="J74" i="18"/>
  <c r="J73" i="18"/>
  <c r="J72" i="18"/>
  <c r="J71" i="18"/>
  <c r="J70" i="18"/>
  <c r="J69" i="18"/>
  <c r="J68" i="18"/>
  <c r="J67" i="18"/>
  <c r="I78" i="18"/>
  <c r="H78" i="18"/>
  <c r="H87" i="22"/>
  <c r="D58" i="39" l="1"/>
  <c r="E63" i="39" s="1"/>
  <c r="K56" i="39"/>
  <c r="G56" i="39"/>
  <c r="J77" i="18"/>
  <c r="F81" i="18"/>
  <c r="I76" i="18" s="1"/>
  <c r="E81" i="18"/>
  <c r="H76" i="18" s="1"/>
  <c r="J78" i="18"/>
  <c r="G58" i="39" l="1"/>
  <c r="I59" i="39"/>
  <c r="K58" i="39"/>
  <c r="I62" i="39"/>
  <c r="I63" i="39" s="1"/>
  <c r="J76" i="18"/>
  <c r="H30" i="22" s="1"/>
  <c r="H33" i="22" s="1"/>
  <c r="H81" i="18"/>
  <c r="H71" i="22"/>
  <c r="H70" i="22"/>
  <c r="H69" i="22"/>
  <c r="G21" i="22"/>
  <c r="G24" i="22" s="1"/>
  <c r="D21" i="22"/>
  <c r="D24" i="22" s="1"/>
  <c r="G12" i="22"/>
  <c r="G14" i="22" s="1"/>
  <c r="G9" i="14"/>
  <c r="G9" i="22" s="1"/>
  <c r="G6" i="14"/>
  <c r="D12" i="22"/>
  <c r="D14" i="22" s="1"/>
  <c r="D9" i="22"/>
  <c r="D6" i="22"/>
  <c r="J33" i="22"/>
  <c r="C71" i="13"/>
  <c r="C79" i="13" s="1"/>
  <c r="C79" i="21" s="1"/>
  <c r="G79" i="21" s="1"/>
  <c r="D63" i="13"/>
  <c r="D63" i="21" s="1"/>
  <c r="G47" i="13"/>
  <c r="G47" i="21" s="1"/>
  <c r="G52" i="21" s="1"/>
  <c r="E47" i="13"/>
  <c r="E47" i="21" s="1"/>
  <c r="E52" i="21" s="1"/>
  <c r="D22" i="21"/>
  <c r="D23" i="21" s="1"/>
  <c r="D15" i="21"/>
  <c r="D14" i="21"/>
  <c r="D12" i="21"/>
  <c r="D5" i="21"/>
  <c r="D7" i="21" s="1"/>
  <c r="E159" i="11"/>
  <c r="F112" i="19"/>
  <c r="F114" i="19" s="1"/>
  <c r="F141" i="19"/>
  <c r="F132" i="19"/>
  <c r="E141" i="19"/>
  <c r="E132" i="19"/>
  <c r="G141" i="19"/>
  <c r="G132" i="19"/>
  <c r="D138" i="11"/>
  <c r="D141" i="19" s="1"/>
  <c r="D132" i="19"/>
  <c r="C138" i="11"/>
  <c r="C132" i="19"/>
  <c r="F97" i="11"/>
  <c r="F79" i="19"/>
  <c r="F78" i="19"/>
  <c r="F77" i="19"/>
  <c r="L187" i="16"/>
  <c r="L188" i="16" s="1"/>
  <c r="M175" i="16"/>
  <c r="L175" i="16"/>
  <c r="M174" i="16"/>
  <c r="L174" i="16"/>
  <c r="J171" i="16"/>
  <c r="G171" i="16"/>
  <c r="F171" i="16"/>
  <c r="E171" i="16"/>
  <c r="D171" i="16"/>
  <c r="AC170" i="16"/>
  <c r="O170" i="16"/>
  <c r="AC169" i="16"/>
  <c r="Z169" i="16"/>
  <c r="Z171" i="16" s="1"/>
  <c r="Y169" i="16"/>
  <c r="Y171" i="16" s="1"/>
  <c r="X169" i="16"/>
  <c r="X171" i="16" s="1"/>
  <c r="W169" i="16"/>
  <c r="W171" i="16" s="1"/>
  <c r="V169" i="16"/>
  <c r="V171" i="16" s="1"/>
  <c r="U169" i="16"/>
  <c r="U171" i="16" s="1"/>
  <c r="T169" i="16"/>
  <c r="S169" i="16"/>
  <c r="R169" i="16"/>
  <c r="Q169" i="16"/>
  <c r="O169" i="16"/>
  <c r="H169" i="16"/>
  <c r="AC168" i="16"/>
  <c r="AA168" i="16"/>
  <c r="O168" i="16"/>
  <c r="H168" i="16"/>
  <c r="AC167" i="16"/>
  <c r="O167" i="16"/>
  <c r="I167" i="16"/>
  <c r="I171" i="16" s="1"/>
  <c r="C167" i="16"/>
  <c r="AC166" i="16"/>
  <c r="O166" i="16"/>
  <c r="AC165" i="16"/>
  <c r="O165" i="16"/>
  <c r="AC164" i="16"/>
  <c r="O164" i="16"/>
  <c r="AC163" i="16"/>
  <c r="AA163" i="16"/>
  <c r="T163" i="16"/>
  <c r="S163" i="16"/>
  <c r="R163" i="16"/>
  <c r="Q163" i="16"/>
  <c r="O163" i="16"/>
  <c r="H163" i="16"/>
  <c r="C163" i="16"/>
  <c r="AC157" i="16"/>
  <c r="O157" i="16"/>
  <c r="AC156" i="16"/>
  <c r="O156" i="16"/>
  <c r="AC155" i="16"/>
  <c r="O155" i="16"/>
  <c r="AA154" i="16"/>
  <c r="Z154" i="16"/>
  <c r="Y154" i="16"/>
  <c r="X154" i="16"/>
  <c r="W154" i="16"/>
  <c r="V154" i="16"/>
  <c r="U154" i="16"/>
  <c r="T154" i="16"/>
  <c r="S154" i="16"/>
  <c r="R154" i="16"/>
  <c r="Q154" i="16"/>
  <c r="J154" i="16"/>
  <c r="I154" i="16"/>
  <c r="H154" i="16"/>
  <c r="G154" i="16"/>
  <c r="F154" i="16"/>
  <c r="E154" i="16"/>
  <c r="D154" i="16"/>
  <c r="C154" i="16"/>
  <c r="AC153" i="16"/>
  <c r="O153" i="16"/>
  <c r="AC152" i="16"/>
  <c r="AA152" i="16"/>
  <c r="AA151" i="16" s="1"/>
  <c r="Z152" i="16"/>
  <c r="Z151" i="16" s="1"/>
  <c r="Y152" i="16"/>
  <c r="Y151" i="16" s="1"/>
  <c r="X152" i="16"/>
  <c r="X151" i="16" s="1"/>
  <c r="W152" i="16"/>
  <c r="W151" i="16" s="1"/>
  <c r="V152" i="16"/>
  <c r="V151" i="16" s="1"/>
  <c r="U152" i="16"/>
  <c r="U151" i="16" s="1"/>
  <c r="T152" i="16"/>
  <c r="T151" i="16" s="1"/>
  <c r="S152" i="16"/>
  <c r="S151" i="16" s="1"/>
  <c r="O152" i="16"/>
  <c r="R151" i="16"/>
  <c r="Q151" i="16"/>
  <c r="J151" i="16"/>
  <c r="I151" i="16"/>
  <c r="H151" i="16"/>
  <c r="G151" i="16"/>
  <c r="F151" i="16"/>
  <c r="E151" i="16"/>
  <c r="D151" i="16"/>
  <c r="C151" i="16"/>
  <c r="AC147" i="16"/>
  <c r="W147" i="16"/>
  <c r="W142" i="16" s="1"/>
  <c r="S147" i="16"/>
  <c r="O147" i="16"/>
  <c r="AC145" i="16"/>
  <c r="O145" i="16"/>
  <c r="AC144" i="16"/>
  <c r="AA144" i="16"/>
  <c r="AA142" i="16" s="1"/>
  <c r="Z144" i="16"/>
  <c r="Z142" i="16" s="1"/>
  <c r="Y144" i="16"/>
  <c r="Y142" i="16" s="1"/>
  <c r="X144" i="16"/>
  <c r="X142" i="16" s="1"/>
  <c r="T144" i="16"/>
  <c r="T142" i="16" s="1"/>
  <c r="S144" i="16"/>
  <c r="O144" i="16"/>
  <c r="F22" i="13"/>
  <c r="AC143" i="16"/>
  <c r="O143" i="16"/>
  <c r="V142" i="16"/>
  <c r="U142" i="16"/>
  <c r="R142" i="16"/>
  <c r="Q142" i="16"/>
  <c r="J142" i="16"/>
  <c r="I142" i="16"/>
  <c r="H142" i="16"/>
  <c r="G142" i="16"/>
  <c r="F142" i="16"/>
  <c r="E142" i="16"/>
  <c r="D142" i="16"/>
  <c r="C142" i="16"/>
  <c r="AC141" i="16"/>
  <c r="O141" i="16"/>
  <c r="AC140" i="16"/>
  <c r="AA140" i="16"/>
  <c r="AA139" i="16" s="1"/>
  <c r="Z140" i="16"/>
  <c r="Z139" i="16" s="1"/>
  <c r="Y140" i="16"/>
  <c r="Y139" i="16" s="1"/>
  <c r="X140" i="16"/>
  <c r="X139" i="16" s="1"/>
  <c r="W140" i="16"/>
  <c r="W139" i="16" s="1"/>
  <c r="V140" i="16"/>
  <c r="V139" i="16" s="1"/>
  <c r="U140" i="16"/>
  <c r="U139" i="16" s="1"/>
  <c r="T140" i="16"/>
  <c r="T139" i="16" s="1"/>
  <c r="Q140" i="16"/>
  <c r="Q139" i="16" s="1"/>
  <c r="O140" i="16"/>
  <c r="S139" i="16"/>
  <c r="R139" i="16"/>
  <c r="J139" i="16"/>
  <c r="I139" i="16"/>
  <c r="H139" i="16"/>
  <c r="G139" i="16"/>
  <c r="F139" i="16"/>
  <c r="E139" i="16"/>
  <c r="D139" i="16"/>
  <c r="C139" i="16"/>
  <c r="AC138" i="16"/>
  <c r="V138" i="16"/>
  <c r="O138" i="16"/>
  <c r="AC137" i="16"/>
  <c r="O137" i="16"/>
  <c r="AC136" i="16"/>
  <c r="O136" i="16"/>
  <c r="AC135" i="16"/>
  <c r="O135" i="16"/>
  <c r="AC134" i="16"/>
  <c r="V134" i="16"/>
  <c r="T134" i="16"/>
  <c r="O134" i="16"/>
  <c r="F15" i="21"/>
  <c r="AC133" i="16"/>
  <c r="O133" i="16"/>
  <c r="F13" i="21"/>
  <c r="AC132" i="16"/>
  <c r="Z132" i="16"/>
  <c r="V132" i="16"/>
  <c r="T132" i="16"/>
  <c r="O132" i="16"/>
  <c r="F14" i="13"/>
  <c r="F14" i="21" s="1"/>
  <c r="AC131" i="16"/>
  <c r="Z131" i="16"/>
  <c r="V131" i="16"/>
  <c r="O131" i="16"/>
  <c r="F12" i="13"/>
  <c r="F12" i="21" s="1"/>
  <c r="AA130" i="16"/>
  <c r="Y130" i="16"/>
  <c r="X130" i="16"/>
  <c r="W130" i="16"/>
  <c r="U130" i="16"/>
  <c r="S130" i="16"/>
  <c r="R130" i="16"/>
  <c r="Q130" i="16"/>
  <c r="J130" i="16"/>
  <c r="I130" i="16"/>
  <c r="H130" i="16"/>
  <c r="G130" i="16"/>
  <c r="F130" i="16"/>
  <c r="E130" i="16"/>
  <c r="D130" i="16"/>
  <c r="C130" i="16"/>
  <c r="AC126" i="16"/>
  <c r="AA126" i="16"/>
  <c r="Z126" i="16"/>
  <c r="Y126" i="16"/>
  <c r="X126" i="16"/>
  <c r="W126" i="16"/>
  <c r="V126" i="16"/>
  <c r="U126" i="16"/>
  <c r="T126" i="16"/>
  <c r="S126" i="16"/>
  <c r="R126" i="16"/>
  <c r="Q126" i="16"/>
  <c r="O126" i="16"/>
  <c r="J126" i="16"/>
  <c r="J8" i="16" s="1"/>
  <c r="I126" i="16"/>
  <c r="H8" i="16" s="1"/>
  <c r="H126" i="16"/>
  <c r="G8" i="16" s="1"/>
  <c r="G126" i="16"/>
  <c r="F126" i="16"/>
  <c r="F8" i="16" s="1"/>
  <c r="D126" i="16"/>
  <c r="D8" i="16" s="1"/>
  <c r="C126" i="16"/>
  <c r="C8" i="16" s="1"/>
  <c r="AC125" i="16"/>
  <c r="O125" i="16"/>
  <c r="AC124" i="16"/>
  <c r="X124" i="16"/>
  <c r="W124" i="16"/>
  <c r="W115" i="16" s="1"/>
  <c r="O124" i="16"/>
  <c r="AC123" i="16"/>
  <c r="X123" i="16"/>
  <c r="X119" i="16" s="1"/>
  <c r="W123" i="16"/>
  <c r="W119" i="16" s="1"/>
  <c r="V123" i="16"/>
  <c r="V119" i="16" s="1"/>
  <c r="U123" i="16"/>
  <c r="T123" i="16"/>
  <c r="T120" i="16" s="1"/>
  <c r="O123" i="16"/>
  <c r="AC122" i="16"/>
  <c r="X122" i="16"/>
  <c r="O122" i="16"/>
  <c r="AC121" i="16"/>
  <c r="Z121" i="16"/>
  <c r="Z120" i="16" s="1"/>
  <c r="Y121" i="16"/>
  <c r="Y120" i="16" s="1"/>
  <c r="X121" i="16"/>
  <c r="U121" i="16"/>
  <c r="U115" i="16" s="1"/>
  <c r="R121" i="16"/>
  <c r="R120" i="16" s="1"/>
  <c r="R115" i="16" s="1"/>
  <c r="R112" i="16" s="1"/>
  <c r="Q121" i="16"/>
  <c r="Q120" i="16" s="1"/>
  <c r="Q115" i="16" s="1"/>
  <c r="Q112" i="16" s="1"/>
  <c r="O121" i="16"/>
  <c r="AA120" i="16"/>
  <c r="S120" i="16"/>
  <c r="S115" i="16" s="1"/>
  <c r="S112" i="16" s="1"/>
  <c r="J120" i="16"/>
  <c r="J6" i="16" s="1"/>
  <c r="I120" i="16"/>
  <c r="H6" i="16" s="1"/>
  <c r="H120" i="16"/>
  <c r="G6" i="16" s="1"/>
  <c r="G120" i="16"/>
  <c r="F120" i="16"/>
  <c r="F6" i="16" s="1"/>
  <c r="E120" i="16"/>
  <c r="E6" i="16" s="1"/>
  <c r="D120" i="16"/>
  <c r="D6" i="16" s="1"/>
  <c r="C120" i="16"/>
  <c r="C6" i="16" s="1"/>
  <c r="AC119" i="16"/>
  <c r="O119" i="16"/>
  <c r="AC118" i="16"/>
  <c r="O118" i="16"/>
  <c r="AC117" i="16"/>
  <c r="Z117" i="16"/>
  <c r="V117" i="16"/>
  <c r="O117" i="16"/>
  <c r="AC116" i="16"/>
  <c r="Z116" i="16"/>
  <c r="Y116" i="16"/>
  <c r="O116" i="16"/>
  <c r="AC115" i="16"/>
  <c r="AA115" i="16"/>
  <c r="AA112" i="16" s="1"/>
  <c r="V115" i="16"/>
  <c r="O115" i="16"/>
  <c r="AD114" i="16"/>
  <c r="AC114" i="16"/>
  <c r="Z114" i="16"/>
  <c r="Z113" i="16" s="1"/>
  <c r="X114" i="16"/>
  <c r="W114" i="16"/>
  <c r="V114" i="16"/>
  <c r="U114" i="16"/>
  <c r="T114" i="16"/>
  <c r="O114" i="16"/>
  <c r="AC113" i="16"/>
  <c r="Y113" i="16"/>
  <c r="X113" i="16"/>
  <c r="W113" i="16"/>
  <c r="V113" i="16"/>
  <c r="U113" i="16"/>
  <c r="T113" i="16"/>
  <c r="O113" i="16"/>
  <c r="J112" i="16"/>
  <c r="I112" i="16"/>
  <c r="H112" i="16"/>
  <c r="G112" i="16"/>
  <c r="F112" i="16"/>
  <c r="E112" i="16"/>
  <c r="D112" i="16"/>
  <c r="C112" i="16"/>
  <c r="AC105" i="16"/>
  <c r="O105" i="16"/>
  <c r="AC104" i="16"/>
  <c r="O104" i="16"/>
  <c r="AC103" i="16"/>
  <c r="O103" i="16"/>
  <c r="AA102" i="16"/>
  <c r="Z102" i="16"/>
  <c r="Y102" i="16"/>
  <c r="X102" i="16"/>
  <c r="W102" i="16"/>
  <c r="V102" i="16"/>
  <c r="U102" i="16"/>
  <c r="T102" i="16"/>
  <c r="S102" i="16"/>
  <c r="R102" i="16"/>
  <c r="Q102" i="16"/>
  <c r="J102" i="16"/>
  <c r="I102" i="16"/>
  <c r="H102" i="16"/>
  <c r="G102" i="16"/>
  <c r="F102" i="16"/>
  <c r="E102" i="16"/>
  <c r="D102" i="16"/>
  <c r="C102" i="16"/>
  <c r="AC101" i="16"/>
  <c r="T101" i="16"/>
  <c r="T97" i="16" s="1"/>
  <c r="S101" i="16"/>
  <c r="S97" i="16" s="1"/>
  <c r="R101" i="16"/>
  <c r="R97" i="16" s="1"/>
  <c r="Q101" i="16"/>
  <c r="Q97" i="16" s="1"/>
  <c r="O101" i="16"/>
  <c r="F101" i="16"/>
  <c r="F97" i="16" s="1"/>
  <c r="AC100" i="16"/>
  <c r="O100" i="16"/>
  <c r="AC99" i="16"/>
  <c r="O99" i="16"/>
  <c r="AC98" i="16"/>
  <c r="O98" i="16"/>
  <c r="AA97" i="16"/>
  <c r="Z97" i="16"/>
  <c r="Y97" i="16"/>
  <c r="X97" i="16"/>
  <c r="W97" i="16"/>
  <c r="V97" i="16"/>
  <c r="U97" i="16"/>
  <c r="J97" i="16"/>
  <c r="I97" i="16"/>
  <c r="H97" i="16"/>
  <c r="G97" i="16"/>
  <c r="E97" i="16"/>
  <c r="D97" i="16"/>
  <c r="C97" i="16"/>
  <c r="AC96" i="16"/>
  <c r="O96" i="16"/>
  <c r="AC95" i="16"/>
  <c r="O95" i="16"/>
  <c r="AC94" i="16"/>
  <c r="O94" i="16"/>
  <c r="AC93" i="16"/>
  <c r="O93" i="16"/>
  <c r="AC92" i="16"/>
  <c r="R92" i="16"/>
  <c r="R91" i="16" s="1"/>
  <c r="O92" i="16"/>
  <c r="AA91" i="16"/>
  <c r="Z91" i="16"/>
  <c r="Y91" i="16"/>
  <c r="X91" i="16"/>
  <c r="W91" i="16"/>
  <c r="V91" i="16"/>
  <c r="U91" i="16"/>
  <c r="T91" i="16"/>
  <c r="S91" i="16"/>
  <c r="Q91" i="16"/>
  <c r="J91" i="16"/>
  <c r="I91" i="16"/>
  <c r="H91" i="16"/>
  <c r="G91" i="16"/>
  <c r="F91" i="16"/>
  <c r="E91" i="16"/>
  <c r="D91" i="16"/>
  <c r="C91" i="16"/>
  <c r="AC90" i="16"/>
  <c r="O90" i="16"/>
  <c r="AC89" i="16"/>
  <c r="O89" i="16"/>
  <c r="AC88" i="16"/>
  <c r="O88" i="16"/>
  <c r="AD87" i="16"/>
  <c r="AC87" i="16"/>
  <c r="Y87" i="16"/>
  <c r="Y75" i="16" s="1"/>
  <c r="O87" i="16"/>
  <c r="AC86" i="16"/>
  <c r="O86" i="16"/>
  <c r="AD85" i="16"/>
  <c r="AC85" i="16"/>
  <c r="O85" i="16"/>
  <c r="AC84" i="16"/>
  <c r="Q84" i="16"/>
  <c r="O84" i="16"/>
  <c r="AD83" i="16"/>
  <c r="AC83" i="16"/>
  <c r="Q83" i="16"/>
  <c r="O83" i="16"/>
  <c r="AC82" i="16"/>
  <c r="Q82" i="16"/>
  <c r="O82" i="16"/>
  <c r="AD81" i="16"/>
  <c r="AC81" i="16"/>
  <c r="O81" i="16"/>
  <c r="AC80" i="16"/>
  <c r="O80" i="16"/>
  <c r="AD79" i="16"/>
  <c r="AC79" i="16"/>
  <c r="O79" i="16"/>
  <c r="AC78" i="16"/>
  <c r="X78" i="16"/>
  <c r="X75" i="16" s="1"/>
  <c r="W78" i="16"/>
  <c r="Q78" i="16"/>
  <c r="O78" i="16"/>
  <c r="AD77" i="16"/>
  <c r="AC77" i="16"/>
  <c r="W77" i="16"/>
  <c r="O77" i="16"/>
  <c r="AA75" i="16"/>
  <c r="Z75" i="16"/>
  <c r="V75" i="16"/>
  <c r="U75" i="16"/>
  <c r="T75" i="16"/>
  <c r="S75" i="16"/>
  <c r="R75" i="16"/>
  <c r="J75" i="16"/>
  <c r="I75" i="16"/>
  <c r="H75" i="16"/>
  <c r="G75" i="16"/>
  <c r="F75" i="16"/>
  <c r="E75" i="16"/>
  <c r="D75" i="16"/>
  <c r="C75" i="16"/>
  <c r="AC71" i="16"/>
  <c r="O71" i="16"/>
  <c r="AC70" i="16"/>
  <c r="O70" i="16"/>
  <c r="AC69" i="16"/>
  <c r="O69" i="16"/>
  <c r="AC68" i="16"/>
  <c r="O68" i="16"/>
  <c r="AC67" i="16"/>
  <c r="O67" i="16"/>
  <c r="AC66" i="16"/>
  <c r="O66" i="16"/>
  <c r="AA65" i="16"/>
  <c r="Z65" i="16"/>
  <c r="Y65" i="16"/>
  <c r="X65" i="16"/>
  <c r="W65" i="16"/>
  <c r="V65" i="16"/>
  <c r="U65" i="16"/>
  <c r="T65" i="16"/>
  <c r="S65" i="16"/>
  <c r="R65" i="16"/>
  <c r="Q65" i="16"/>
  <c r="J65" i="16"/>
  <c r="I65" i="16"/>
  <c r="H65" i="16"/>
  <c r="G65" i="16"/>
  <c r="F65" i="16"/>
  <c r="D65" i="16"/>
  <c r="C65" i="16"/>
  <c r="AC64" i="16"/>
  <c r="O64" i="16"/>
  <c r="AC63" i="16"/>
  <c r="O63" i="16"/>
  <c r="AC62" i="16"/>
  <c r="O62" i="16"/>
  <c r="AC61" i="16"/>
  <c r="O61" i="16"/>
  <c r="AC60" i="16"/>
  <c r="Z60" i="16"/>
  <c r="Q60" i="16"/>
  <c r="O60" i="16"/>
  <c r="H102" i="19"/>
  <c r="AC59" i="16"/>
  <c r="O59" i="16"/>
  <c r="H101" i="19"/>
  <c r="AC58" i="16"/>
  <c r="Z58" i="16"/>
  <c r="V58" i="16"/>
  <c r="V56" i="16" s="1"/>
  <c r="Q58" i="16"/>
  <c r="O58" i="16"/>
  <c r="AA56" i="16"/>
  <c r="Y56" i="16"/>
  <c r="X56" i="16"/>
  <c r="W56" i="16"/>
  <c r="U56" i="16"/>
  <c r="T56" i="16"/>
  <c r="S56" i="16"/>
  <c r="R56" i="16"/>
  <c r="J56" i="16"/>
  <c r="I56" i="16"/>
  <c r="H56" i="16"/>
  <c r="G56" i="16"/>
  <c r="F56" i="16"/>
  <c r="E56" i="16"/>
  <c r="D56" i="16"/>
  <c r="C56" i="16"/>
  <c r="AA54" i="16"/>
  <c r="AA51" i="16"/>
  <c r="Z51" i="16"/>
  <c r="Z50" i="16" s="1"/>
  <c r="Y51" i="16"/>
  <c r="Y50" i="16" s="1"/>
  <c r="X51" i="16"/>
  <c r="X50" i="16" s="1"/>
  <c r="W51" i="16"/>
  <c r="W50" i="16" s="1"/>
  <c r="V51" i="16"/>
  <c r="V50" i="16" s="1"/>
  <c r="U51" i="16"/>
  <c r="U50" i="16" s="1"/>
  <c r="T51" i="16"/>
  <c r="T50" i="16" s="1"/>
  <c r="S51" i="16"/>
  <c r="S50" i="16" s="1"/>
  <c r="Q51" i="16"/>
  <c r="Q50" i="16" s="1"/>
  <c r="R50" i="16"/>
  <c r="J50" i="16"/>
  <c r="I50" i="16"/>
  <c r="H50" i="16"/>
  <c r="G50" i="16"/>
  <c r="F50" i="16"/>
  <c r="E50" i="16"/>
  <c r="D50" i="16"/>
  <c r="C50" i="16"/>
  <c r="AC49" i="16"/>
  <c r="O49" i="16"/>
  <c r="AC48" i="16"/>
  <c r="O48" i="16"/>
  <c r="AC47" i="16"/>
  <c r="AA47" i="16"/>
  <c r="Z47" i="16"/>
  <c r="Y47" i="16"/>
  <c r="X47" i="16"/>
  <c r="W47" i="16"/>
  <c r="V47" i="16"/>
  <c r="U47" i="16"/>
  <c r="T47" i="16"/>
  <c r="S47" i="16"/>
  <c r="R47" i="16"/>
  <c r="R44" i="16" s="1"/>
  <c r="Q47" i="16"/>
  <c r="O47" i="16"/>
  <c r="AC46" i="16"/>
  <c r="AA46" i="16"/>
  <c r="Z46" i="16"/>
  <c r="Y46" i="16"/>
  <c r="X46" i="16"/>
  <c r="W46" i="16"/>
  <c r="V46" i="16"/>
  <c r="U46" i="16"/>
  <c r="T46" i="16"/>
  <c r="S46" i="16"/>
  <c r="O46" i="16"/>
  <c r="AC45" i="16"/>
  <c r="O45" i="16"/>
  <c r="F45" i="16"/>
  <c r="F44" i="16" s="1"/>
  <c r="Q44" i="16"/>
  <c r="J44" i="16"/>
  <c r="I44" i="16"/>
  <c r="H44" i="16"/>
  <c r="E44" i="16"/>
  <c r="D44" i="16"/>
  <c r="C44" i="16"/>
  <c r="AC43" i="16"/>
  <c r="AA43" i="16"/>
  <c r="R43" i="16"/>
  <c r="Q43" i="16"/>
  <c r="O43" i="16"/>
  <c r="C43" i="16"/>
  <c r="C36" i="16" s="1"/>
  <c r="AC42" i="16"/>
  <c r="Y42" i="16"/>
  <c r="W42" i="16"/>
  <c r="V42" i="16"/>
  <c r="U42" i="16"/>
  <c r="T42" i="16"/>
  <c r="R42" i="16"/>
  <c r="Q42" i="16"/>
  <c r="AD42" i="16" s="1"/>
  <c r="O42" i="16"/>
  <c r="AC41" i="16"/>
  <c r="O41" i="16"/>
  <c r="AD40" i="16"/>
  <c r="AC40" i="16"/>
  <c r="Z40" i="16"/>
  <c r="Y40" i="16"/>
  <c r="W40" i="16"/>
  <c r="U40" i="16"/>
  <c r="R40" i="16"/>
  <c r="O40" i="16"/>
  <c r="AC39" i="16"/>
  <c r="Z39" i="16"/>
  <c r="Y39" i="16"/>
  <c r="X39" i="16"/>
  <c r="W39" i="16"/>
  <c r="V39" i="16"/>
  <c r="U39" i="16"/>
  <c r="T39" i="16"/>
  <c r="S39" i="16"/>
  <c r="R39" i="16"/>
  <c r="Q39" i="16"/>
  <c r="AD39" i="16" s="1"/>
  <c r="O39" i="16"/>
  <c r="AD38" i="16"/>
  <c r="AC38" i="16"/>
  <c r="AA38" i="16"/>
  <c r="X38" i="16"/>
  <c r="W38" i="16"/>
  <c r="V38" i="16"/>
  <c r="U38" i="16"/>
  <c r="T38" i="16"/>
  <c r="R38" i="16"/>
  <c r="O38" i="16"/>
  <c r="AD37" i="16"/>
  <c r="AC37" i="16"/>
  <c r="AA37" i="16"/>
  <c r="Z37" i="16"/>
  <c r="Y37" i="16"/>
  <c r="X37" i="16"/>
  <c r="W37" i="16"/>
  <c r="V37" i="16"/>
  <c r="U37" i="16"/>
  <c r="T37" i="16"/>
  <c r="S37" i="16"/>
  <c r="R37" i="16"/>
  <c r="O37" i="16"/>
  <c r="I138" i="11"/>
  <c r="J138" i="11" s="1"/>
  <c r="J36" i="16"/>
  <c r="I36" i="16"/>
  <c r="H36" i="16"/>
  <c r="G36" i="16"/>
  <c r="F36" i="16"/>
  <c r="E36" i="16"/>
  <c r="D36" i="16"/>
  <c r="AC35" i="16"/>
  <c r="O35" i="16"/>
  <c r="AC34" i="16"/>
  <c r="T34" i="16"/>
  <c r="T32" i="16" s="1"/>
  <c r="Q34" i="16"/>
  <c r="Q32" i="16" s="1"/>
  <c r="O34" i="16"/>
  <c r="C34" i="16"/>
  <c r="C32" i="16" s="1"/>
  <c r="C7" i="16" s="1"/>
  <c r="AC33" i="16"/>
  <c r="O33" i="16"/>
  <c r="AA32" i="16"/>
  <c r="Z32" i="16"/>
  <c r="Y32" i="16"/>
  <c r="X32" i="16"/>
  <c r="W32" i="16"/>
  <c r="V32" i="16"/>
  <c r="U32" i="16"/>
  <c r="S32" i="16"/>
  <c r="R32" i="16"/>
  <c r="J32" i="16"/>
  <c r="J7" i="16" s="1"/>
  <c r="I32" i="16"/>
  <c r="H7" i="16" s="1"/>
  <c r="H32" i="16"/>
  <c r="G7" i="16" s="1"/>
  <c r="F32" i="16"/>
  <c r="F7" i="16" s="1"/>
  <c r="E32" i="16"/>
  <c r="E7" i="16" s="1"/>
  <c r="D32" i="16"/>
  <c r="D7" i="16" s="1"/>
  <c r="AC31" i="16"/>
  <c r="O31" i="16"/>
  <c r="AC30" i="16"/>
  <c r="Y30" i="16"/>
  <c r="O30" i="16"/>
  <c r="AC29" i="16"/>
  <c r="O29" i="16"/>
  <c r="AC28" i="16"/>
  <c r="AA28" i="16"/>
  <c r="Z28" i="16"/>
  <c r="Y28" i="16"/>
  <c r="T28" i="16"/>
  <c r="T26" i="16" s="1"/>
  <c r="S28" i="16"/>
  <c r="R28" i="16"/>
  <c r="R26" i="16" s="1"/>
  <c r="Q28" i="16"/>
  <c r="O28" i="16"/>
  <c r="AC27" i="16"/>
  <c r="AA27" i="16"/>
  <c r="Z27" i="16"/>
  <c r="V27" i="16"/>
  <c r="V26" i="16" s="1"/>
  <c r="U27" i="16"/>
  <c r="U26" i="16" s="1"/>
  <c r="S27" i="16"/>
  <c r="Q27" i="16"/>
  <c r="Q26" i="16" s="1"/>
  <c r="O27" i="16"/>
  <c r="F27" i="16"/>
  <c r="F26" i="16" s="1"/>
  <c r="F5" i="16" s="1"/>
  <c r="X26" i="16"/>
  <c r="W26" i="16"/>
  <c r="I26" i="16"/>
  <c r="H5" i="16" s="1"/>
  <c r="H26" i="16"/>
  <c r="G5" i="16" s="1"/>
  <c r="G26" i="16"/>
  <c r="E26" i="16"/>
  <c r="E5" i="16" s="1"/>
  <c r="D26" i="16"/>
  <c r="D5" i="16" s="1"/>
  <c r="C26" i="16"/>
  <c r="C5" i="16" s="1"/>
  <c r="AC25" i="16"/>
  <c r="W25" i="16"/>
  <c r="V25" i="16"/>
  <c r="Q25" i="16"/>
  <c r="O25" i="16"/>
  <c r="AC24" i="16"/>
  <c r="AA24" i="16"/>
  <c r="Z24" i="16"/>
  <c r="Y24" i="16"/>
  <c r="X24" i="16"/>
  <c r="W24" i="16"/>
  <c r="V24" i="16"/>
  <c r="U24" i="16"/>
  <c r="T24" i="16"/>
  <c r="S24" i="16"/>
  <c r="R24" i="16"/>
  <c r="Q24" i="16"/>
  <c r="O24" i="16"/>
  <c r="AC23" i="16"/>
  <c r="O23" i="16"/>
  <c r="AC21" i="16"/>
  <c r="AA21" i="16"/>
  <c r="Z21" i="16"/>
  <c r="Y21" i="16"/>
  <c r="X21" i="16"/>
  <c r="W21" i="16"/>
  <c r="V21" i="16"/>
  <c r="R21" i="16"/>
  <c r="Q21" i="16"/>
  <c r="O21" i="16"/>
  <c r="AC20" i="16"/>
  <c r="AA20" i="16"/>
  <c r="Z20" i="16"/>
  <c r="Y20" i="16"/>
  <c r="W20" i="16"/>
  <c r="V20" i="16"/>
  <c r="T20" i="16"/>
  <c r="Q20" i="16"/>
  <c r="O20" i="16"/>
  <c r="K19" i="16"/>
  <c r="J19" i="16"/>
  <c r="I19" i="16"/>
  <c r="H19" i="16"/>
  <c r="G19" i="16"/>
  <c r="F19" i="16"/>
  <c r="E19" i="16"/>
  <c r="D19" i="16"/>
  <c r="C19" i="16"/>
  <c r="AC18" i="16"/>
  <c r="O18" i="16"/>
  <c r="AC17" i="16"/>
  <c r="W17" i="16"/>
  <c r="V17" i="16"/>
  <c r="R17" i="16"/>
  <c r="O17" i="16"/>
  <c r="AC16" i="16"/>
  <c r="AA16" i="16"/>
  <c r="Z16" i="16"/>
  <c r="Y16" i="16"/>
  <c r="X16" i="16"/>
  <c r="W16" i="16"/>
  <c r="V16" i="16"/>
  <c r="U16" i="16"/>
  <c r="T16" i="16"/>
  <c r="S16" i="16"/>
  <c r="R16" i="16"/>
  <c r="Q16" i="16"/>
  <c r="O16" i="16"/>
  <c r="H75" i="11"/>
  <c r="AC15" i="16"/>
  <c r="AA15" i="16"/>
  <c r="Z15" i="16"/>
  <c r="Y15" i="16"/>
  <c r="X15" i="16"/>
  <c r="W15" i="16"/>
  <c r="V15" i="16"/>
  <c r="U15" i="16"/>
  <c r="T15" i="16"/>
  <c r="S15" i="16"/>
  <c r="R15" i="16"/>
  <c r="Q15" i="16"/>
  <c r="O15" i="16"/>
  <c r="K14" i="16"/>
  <c r="J14" i="16"/>
  <c r="I14" i="16"/>
  <c r="H14" i="16"/>
  <c r="G14" i="16"/>
  <c r="F14" i="16"/>
  <c r="E14" i="16"/>
  <c r="D14" i="16"/>
  <c r="C14" i="16"/>
  <c r="AC9" i="16"/>
  <c r="O9" i="16"/>
  <c r="N8" i="16"/>
  <c r="M8" i="16"/>
  <c r="L8" i="16"/>
  <c r="E8" i="16"/>
  <c r="N7" i="16"/>
  <c r="M7" i="16"/>
  <c r="L7" i="16"/>
  <c r="N6" i="16"/>
  <c r="M6" i="16"/>
  <c r="L6" i="16"/>
  <c r="N5" i="16"/>
  <c r="M5" i="16"/>
  <c r="L5" i="16"/>
  <c r="J5" i="16"/>
  <c r="B39" i="6"/>
  <c r="B70" i="5"/>
  <c r="B37" i="6" s="1"/>
  <c r="A3" i="11"/>
  <c r="H4" i="11"/>
  <c r="F39" i="13"/>
  <c r="J7" i="13" s="1"/>
  <c r="M34" i="15"/>
  <c r="M33" i="15"/>
  <c r="M32" i="15"/>
  <c r="M30" i="15"/>
  <c r="M29" i="15"/>
  <c r="M28" i="15"/>
  <c r="M27" i="15"/>
  <c r="M26" i="15"/>
  <c r="M25" i="15"/>
  <c r="M24" i="15"/>
  <c r="M23" i="15"/>
  <c r="M22" i="15"/>
  <c r="M22" i="23" s="1"/>
  <c r="O22" i="23" s="1"/>
  <c r="M21" i="15"/>
  <c r="M18" i="15"/>
  <c r="M17" i="15"/>
  <c r="M16" i="15"/>
  <c r="M15" i="15"/>
  <c r="M15" i="23" s="1"/>
  <c r="O15" i="23" s="1"/>
  <c r="M14" i="15"/>
  <c r="M14" i="23" s="1"/>
  <c r="O14" i="23" s="1"/>
  <c r="M13" i="15"/>
  <c r="M13" i="23" s="1"/>
  <c r="O13" i="23" s="1"/>
  <c r="M12" i="15"/>
  <c r="M12" i="23" s="1"/>
  <c r="O12" i="23" s="1"/>
  <c r="M11" i="15"/>
  <c r="M10" i="15"/>
  <c r="M9" i="15"/>
  <c r="M9" i="23" s="1"/>
  <c r="O9" i="23" s="1"/>
  <c r="M8" i="15"/>
  <c r="M7" i="15"/>
  <c r="H115" i="14"/>
  <c r="F115" i="14"/>
  <c r="F88" i="14"/>
  <c r="F81" i="14"/>
  <c r="E81" i="14"/>
  <c r="F73" i="14"/>
  <c r="H33" i="14"/>
  <c r="K33" i="14" s="1"/>
  <c r="F33" i="14"/>
  <c r="G24" i="14"/>
  <c r="K24" i="14" s="1"/>
  <c r="G65" i="13"/>
  <c r="G64" i="13"/>
  <c r="C66" i="13"/>
  <c r="G23" i="13"/>
  <c r="E23" i="13"/>
  <c r="D23" i="13"/>
  <c r="D7" i="13"/>
  <c r="H139" i="19"/>
  <c r="E139" i="19"/>
  <c r="H123" i="11"/>
  <c r="F123" i="11"/>
  <c r="H90" i="11"/>
  <c r="H89" i="11"/>
  <c r="E8" i="8"/>
  <c r="E12" i="8" s="1"/>
  <c r="D26" i="7"/>
  <c r="D14" i="7"/>
  <c r="D7" i="7"/>
  <c r="D54" i="5"/>
  <c r="D47" i="5"/>
  <c r="D19" i="5"/>
  <c r="A2" i="8"/>
  <c r="D3" i="7"/>
  <c r="A3" i="7"/>
  <c r="D4" i="6"/>
  <c r="A4" i="6"/>
  <c r="A3" i="5"/>
  <c r="A3" i="37" s="1"/>
  <c r="I3" i="37" s="1"/>
  <c r="D49" i="7"/>
  <c r="AD104" i="16"/>
  <c r="AD105" i="16" s="1"/>
  <c r="H76" i="11"/>
  <c r="AB175" i="16"/>
  <c r="H74" i="11"/>
  <c r="V120" i="16" l="1"/>
  <c r="B62" i="7"/>
  <c r="C17" i="8" s="1"/>
  <c r="B62" i="39"/>
  <c r="B60" i="7"/>
  <c r="C17" i="40" s="1"/>
  <c r="B60" i="39"/>
  <c r="K163" i="19"/>
  <c r="N21" i="15"/>
  <c r="N21" i="23" s="1"/>
  <c r="M21" i="23"/>
  <c r="O21" i="23" s="1"/>
  <c r="N30" i="15"/>
  <c r="N30" i="23" s="1"/>
  <c r="M30" i="23"/>
  <c r="O30" i="23" s="1"/>
  <c r="N29" i="15"/>
  <c r="N29" i="23" s="1"/>
  <c r="M29" i="23"/>
  <c r="O29" i="23" s="1"/>
  <c r="H78" i="19"/>
  <c r="J75" i="11"/>
  <c r="N23" i="15"/>
  <c r="N23" i="23" s="1"/>
  <c r="M23" i="23"/>
  <c r="O23" i="23" s="1"/>
  <c r="N32" i="15"/>
  <c r="N32" i="23" s="1"/>
  <c r="M32" i="23"/>
  <c r="O32" i="23" s="1"/>
  <c r="N11" i="15"/>
  <c r="N11" i="23" s="1"/>
  <c r="M11" i="23"/>
  <c r="O11" i="23" s="1"/>
  <c r="N33" i="15"/>
  <c r="N33" i="23" s="1"/>
  <c r="M33" i="23"/>
  <c r="O33" i="23" s="1"/>
  <c r="H77" i="19"/>
  <c r="J74" i="11"/>
  <c r="N7" i="15"/>
  <c r="N7" i="23" s="1"/>
  <c r="M7" i="23"/>
  <c r="N25" i="15"/>
  <c r="N25" i="23" s="1"/>
  <c r="M25" i="23"/>
  <c r="O25" i="23" s="1"/>
  <c r="N34" i="15"/>
  <c r="N34" i="23" s="1"/>
  <c r="M34" i="23"/>
  <c r="O34" i="23" s="1"/>
  <c r="N8" i="15"/>
  <c r="N8" i="23" s="1"/>
  <c r="M8" i="23"/>
  <c r="O8" i="23" s="1"/>
  <c r="N16" i="15"/>
  <c r="N16" i="23" s="1"/>
  <c r="M16" i="23"/>
  <c r="O16" i="23" s="1"/>
  <c r="N26" i="15"/>
  <c r="N26" i="23" s="1"/>
  <c r="M26" i="23"/>
  <c r="O26" i="23" s="1"/>
  <c r="N24" i="15"/>
  <c r="N24" i="23" s="1"/>
  <c r="M24" i="23"/>
  <c r="O24" i="23" s="1"/>
  <c r="H79" i="19"/>
  <c r="J76" i="11"/>
  <c r="N17" i="15"/>
  <c r="N17" i="23" s="1"/>
  <c r="M17" i="23"/>
  <c r="O17" i="23" s="1"/>
  <c r="N27" i="15"/>
  <c r="N27" i="23" s="1"/>
  <c r="M27" i="23"/>
  <c r="O27" i="23" s="1"/>
  <c r="K139" i="11"/>
  <c r="K140" i="11" s="1"/>
  <c r="N10" i="15"/>
  <c r="N10" i="23" s="1"/>
  <c r="M10" i="23"/>
  <c r="O10" i="23" s="1"/>
  <c r="N18" i="15"/>
  <c r="N18" i="23" s="1"/>
  <c r="M18" i="23"/>
  <c r="O18" i="23" s="1"/>
  <c r="N28" i="15"/>
  <c r="N28" i="23" s="1"/>
  <c r="M28" i="23"/>
  <c r="O28" i="23" s="1"/>
  <c r="M31" i="15"/>
  <c r="M31" i="23" s="1"/>
  <c r="O31" i="23" s="1"/>
  <c r="X36" i="16"/>
  <c r="K33" i="22"/>
  <c r="D158" i="16"/>
  <c r="D159" i="16" s="1"/>
  <c r="O151" i="16"/>
  <c r="Q171" i="16"/>
  <c r="H103" i="19"/>
  <c r="K103" i="19" s="1"/>
  <c r="S14" i="16"/>
  <c r="AC19" i="16"/>
  <c r="Z56" i="16"/>
  <c r="X115" i="16"/>
  <c r="X112" i="16" s="1"/>
  <c r="AA148" i="16"/>
  <c r="T171" i="16"/>
  <c r="S142" i="16"/>
  <c r="S148" i="16" s="1"/>
  <c r="C72" i="16"/>
  <c r="W14" i="16"/>
  <c r="AC57" i="16"/>
  <c r="AC56" i="16" s="1"/>
  <c r="AC55" i="16" s="1"/>
  <c r="AC54" i="16" s="1"/>
  <c r="AC53" i="16" s="1"/>
  <c r="AC52" i="16" s="1"/>
  <c r="AC51" i="16" s="1"/>
  <c r="AC50" i="16" s="1"/>
  <c r="Q158" i="16"/>
  <c r="Z26" i="16"/>
  <c r="Z23" i="16" s="1"/>
  <c r="Z19" i="16" s="1"/>
  <c r="T36" i="16"/>
  <c r="S44" i="16"/>
  <c r="W44" i="16"/>
  <c r="T130" i="16"/>
  <c r="AC151" i="16"/>
  <c r="R14" i="16"/>
  <c r="Z14" i="16"/>
  <c r="V130" i="16"/>
  <c r="AC139" i="16"/>
  <c r="O32" i="16"/>
  <c r="I72" i="16"/>
  <c r="R23" i="16"/>
  <c r="R19" i="16" s="1"/>
  <c r="T44" i="16"/>
  <c r="E148" i="16"/>
  <c r="I148" i="16"/>
  <c r="R148" i="16"/>
  <c r="F158" i="16"/>
  <c r="J158" i="16"/>
  <c r="W23" i="16"/>
  <c r="W19" i="16" s="1"/>
  <c r="T158" i="16"/>
  <c r="X158" i="16"/>
  <c r="X44" i="16"/>
  <c r="AC36" i="16"/>
  <c r="D72" i="16"/>
  <c r="D73" i="16" s="1"/>
  <c r="O19" i="16"/>
  <c r="G72" i="16"/>
  <c r="J72" i="16"/>
  <c r="W36" i="16"/>
  <c r="V44" i="16"/>
  <c r="O139" i="16"/>
  <c r="M19" i="15"/>
  <c r="M19" i="23" s="1"/>
  <c r="O19" i="23" s="1"/>
  <c r="E72" i="16"/>
  <c r="H72" i="16"/>
  <c r="O26" i="16"/>
  <c r="Y26" i="16"/>
  <c r="Y23" i="16" s="1"/>
  <c r="Y19" i="16" s="1"/>
  <c r="Q75" i="16"/>
  <c r="Q106" i="16" s="1"/>
  <c r="O112" i="16"/>
  <c r="C158" i="16"/>
  <c r="G158" i="16"/>
  <c r="AC171" i="16"/>
  <c r="O44" i="16"/>
  <c r="C148" i="16"/>
  <c r="G148" i="16"/>
  <c r="T119" i="16"/>
  <c r="U158" i="16"/>
  <c r="Y158" i="16"/>
  <c r="H171" i="16"/>
  <c r="S171" i="16"/>
  <c r="AC26" i="16"/>
  <c r="I158" i="16"/>
  <c r="R36" i="16"/>
  <c r="J148" i="16"/>
  <c r="O130" i="16"/>
  <c r="R171" i="16"/>
  <c r="T14" i="16"/>
  <c r="X14" i="16"/>
  <c r="O36" i="16"/>
  <c r="Y36" i="16"/>
  <c r="O75" i="16"/>
  <c r="V23" i="16"/>
  <c r="V19" i="16" s="1"/>
  <c r="Q56" i="16"/>
  <c r="O97" i="16"/>
  <c r="T23" i="16"/>
  <c r="T19" i="16" s="1"/>
  <c r="Q14" i="16"/>
  <c r="U14" i="16"/>
  <c r="Y14" i="16"/>
  <c r="AA14" i="16"/>
  <c r="V14" i="16"/>
  <c r="U36" i="16"/>
  <c r="Z36" i="16"/>
  <c r="AA50" i="16"/>
  <c r="O57" i="16"/>
  <c r="O56" i="16" s="1"/>
  <c r="O55" i="16" s="1"/>
  <c r="O54" i="16" s="1"/>
  <c r="O53" i="16" s="1"/>
  <c r="O52" i="16" s="1"/>
  <c r="O51" i="16" s="1"/>
  <c r="O50" i="16" s="1"/>
  <c r="D148" i="16"/>
  <c r="D149" i="16" s="1"/>
  <c r="H148" i="16"/>
  <c r="U120" i="16"/>
  <c r="O14" i="16"/>
  <c r="AC14" i="16"/>
  <c r="AC65" i="16"/>
  <c r="X106" i="16"/>
  <c r="Z115" i="16"/>
  <c r="Z112" i="16" s="1"/>
  <c r="AC142" i="16"/>
  <c r="R158" i="16"/>
  <c r="V158" i="16"/>
  <c r="Z158" i="16"/>
  <c r="U23" i="16"/>
  <c r="U19" i="16" s="1"/>
  <c r="S26" i="16"/>
  <c r="S23" i="16" s="1"/>
  <c r="S19" i="16" s="1"/>
  <c r="AA26" i="16"/>
  <c r="AA23" i="16" s="1"/>
  <c r="AA19" i="16" s="1"/>
  <c r="S36" i="16"/>
  <c r="O65" i="16"/>
  <c r="AC102" i="16"/>
  <c r="F148" i="16"/>
  <c r="H158" i="16"/>
  <c r="F72" i="16"/>
  <c r="W112" i="16"/>
  <c r="Y115" i="16"/>
  <c r="Y112" i="16" s="1"/>
  <c r="Y148" i="16" s="1"/>
  <c r="U119" i="16"/>
  <c r="U112" i="16" s="1"/>
  <c r="AC120" i="16"/>
  <c r="S158" i="16"/>
  <c r="O171" i="16"/>
  <c r="Q23" i="16"/>
  <c r="Q19" i="16" s="1"/>
  <c r="AA44" i="16"/>
  <c r="AA36" i="16"/>
  <c r="V36" i="16"/>
  <c r="Z44" i="16"/>
  <c r="AC75" i="16"/>
  <c r="O102" i="16"/>
  <c r="V112" i="16"/>
  <c r="X120" i="16"/>
  <c r="W120" i="16"/>
  <c r="AC130" i="16"/>
  <c r="E158" i="16"/>
  <c r="X23" i="16"/>
  <c r="X19" i="16" s="1"/>
  <c r="Y44" i="16"/>
  <c r="R106" i="16"/>
  <c r="Z130" i="16"/>
  <c r="O142" i="16"/>
  <c r="W158" i="16"/>
  <c r="AA158" i="16"/>
  <c r="E106" i="16"/>
  <c r="I106" i="16"/>
  <c r="S106" i="16"/>
  <c r="C106" i="16"/>
  <c r="C107" i="16" s="1"/>
  <c r="Y106" i="16"/>
  <c r="AC97" i="16"/>
  <c r="O120" i="16"/>
  <c r="Q36" i="16"/>
  <c r="V106" i="16"/>
  <c r="Z106" i="16"/>
  <c r="AC91" i="16"/>
  <c r="AC112" i="16"/>
  <c r="G106" i="16"/>
  <c r="U106" i="16"/>
  <c r="O91" i="16"/>
  <c r="AA106" i="16"/>
  <c r="T115" i="16"/>
  <c r="Q148" i="16"/>
  <c r="AC154" i="16"/>
  <c r="AC32" i="16"/>
  <c r="AC44" i="16"/>
  <c r="U44" i="16"/>
  <c r="W75" i="16"/>
  <c r="W106" i="16" s="1"/>
  <c r="F106" i="16"/>
  <c r="J106" i="16"/>
  <c r="T106" i="16"/>
  <c r="D106" i="16"/>
  <c r="D107" i="16" s="1"/>
  <c r="H106" i="16"/>
  <c r="O154" i="16"/>
  <c r="C141" i="19"/>
  <c r="C171" i="16"/>
  <c r="AA169" i="16"/>
  <c r="AA171" i="16" s="1"/>
  <c r="I141" i="19"/>
  <c r="G63" i="13"/>
  <c r="G66" i="13" s="1"/>
  <c r="K61" i="22"/>
  <c r="D31" i="5"/>
  <c r="E135" i="11"/>
  <c r="E138" i="19" s="1"/>
  <c r="E126" i="11"/>
  <c r="H135" i="11"/>
  <c r="H138" i="19" s="1"/>
  <c r="J137" i="11"/>
  <c r="G139" i="19"/>
  <c r="D139" i="19"/>
  <c r="D24" i="7"/>
  <c r="G52" i="13"/>
  <c r="E52" i="13"/>
  <c r="D42" i="7"/>
  <c r="D55" i="7"/>
  <c r="D55" i="5"/>
  <c r="F100" i="11"/>
  <c r="E135" i="19"/>
  <c r="D50" i="21"/>
  <c r="D48" i="21"/>
  <c r="H135" i="19"/>
  <c r="G71" i="13"/>
  <c r="G79" i="13" s="1"/>
  <c r="C71" i="21"/>
  <c r="D66" i="13"/>
  <c r="F139" i="19"/>
  <c r="D14" i="14"/>
  <c r="F80" i="19"/>
  <c r="G14" i="14"/>
  <c r="K14" i="14" s="1"/>
  <c r="D10" i="22"/>
  <c r="D8" i="22"/>
  <c r="D66" i="21"/>
  <c r="G63" i="21"/>
  <c r="G66" i="21" s="1"/>
  <c r="G8" i="14"/>
  <c r="G6" i="22"/>
  <c r="I132" i="19"/>
  <c r="D16" i="21"/>
  <c r="H80" i="19"/>
  <c r="C139" i="19"/>
  <c r="D16" i="13"/>
  <c r="E17" i="13" s="1"/>
  <c r="D39" i="13"/>
  <c r="H73" i="14"/>
  <c r="J74" i="14" s="1"/>
  <c r="D24" i="14"/>
  <c r="H73" i="22"/>
  <c r="J74" i="22" s="1"/>
  <c r="G159" i="11"/>
  <c r="J159" i="11" s="1"/>
  <c r="G162" i="19"/>
  <c r="F23" i="13"/>
  <c r="F22" i="21"/>
  <c r="F23" i="21" s="1"/>
  <c r="F16" i="21"/>
  <c r="H98" i="11"/>
  <c r="H100" i="11" s="1"/>
  <c r="K100" i="11" s="1"/>
  <c r="H77" i="11"/>
  <c r="F48" i="21"/>
  <c r="F16" i="13"/>
  <c r="G17" i="13" s="1"/>
  <c r="C19" i="40" l="1"/>
  <c r="D56" i="7"/>
  <c r="D58" i="7" s="1"/>
  <c r="C15" i="8"/>
  <c r="N19" i="15"/>
  <c r="N19" i="23" s="1"/>
  <c r="L77" i="11"/>
  <c r="J77" i="11"/>
  <c r="N31" i="15"/>
  <c r="N31" i="23" s="1"/>
  <c r="M35" i="15"/>
  <c r="T112" i="16"/>
  <c r="T148" i="16" s="1"/>
  <c r="T160" i="16" s="1"/>
  <c r="T173" i="16" s="1"/>
  <c r="AA160" i="16"/>
  <c r="AA173" i="16" s="1"/>
  <c r="O158" i="16"/>
  <c r="I160" i="16"/>
  <c r="I173" i="16" s="1"/>
  <c r="H108" i="16"/>
  <c r="Y160" i="16"/>
  <c r="Y173" i="16" s="1"/>
  <c r="U148" i="16"/>
  <c r="U160" i="16" s="1"/>
  <c r="U161" i="16" s="1"/>
  <c r="D160" i="16"/>
  <c r="D161" i="16" s="1"/>
  <c r="J108" i="16"/>
  <c r="R160" i="16"/>
  <c r="R173" i="16" s="1"/>
  <c r="Q160" i="16"/>
  <c r="Q173" i="16" s="1"/>
  <c r="AC148" i="16"/>
  <c r="G108" i="16"/>
  <c r="G109" i="16" s="1"/>
  <c r="J160" i="16"/>
  <c r="J173" i="16" s="1"/>
  <c r="J174" i="16" s="1"/>
  <c r="AC158" i="16"/>
  <c r="I108" i="16"/>
  <c r="S72" i="16"/>
  <c r="S108" i="16" s="1"/>
  <c r="C160" i="16"/>
  <c r="C173" i="16" s="1"/>
  <c r="W72" i="16"/>
  <c r="W73" i="16" s="1"/>
  <c r="C108" i="16"/>
  <c r="T72" i="16"/>
  <c r="T108" i="16" s="1"/>
  <c r="G160" i="16"/>
  <c r="G173" i="16" s="1"/>
  <c r="E160" i="16"/>
  <c r="E173" i="16" s="1"/>
  <c r="E177" i="16" s="1"/>
  <c r="V148" i="16"/>
  <c r="V160" i="16" s="1"/>
  <c r="V173" i="16" s="1"/>
  <c r="X72" i="16"/>
  <c r="X108" i="16" s="1"/>
  <c r="R72" i="16"/>
  <c r="R108" i="16" s="1"/>
  <c r="D108" i="16"/>
  <c r="D109" i="16" s="1"/>
  <c r="U72" i="16"/>
  <c r="U108" i="16" s="1"/>
  <c r="F160" i="16"/>
  <c r="F161" i="16" s="1"/>
  <c r="H160" i="16"/>
  <c r="H173" i="16" s="1"/>
  <c r="H177" i="16" s="1"/>
  <c r="F108" i="16"/>
  <c r="F109" i="16" s="1"/>
  <c r="O72" i="16"/>
  <c r="O148" i="16"/>
  <c r="AC106" i="16"/>
  <c r="S160" i="16"/>
  <c r="V72" i="16"/>
  <c r="V108" i="16" s="1"/>
  <c r="Q72" i="16"/>
  <c r="Q108" i="16" s="1"/>
  <c r="E108" i="16"/>
  <c r="Z72" i="16"/>
  <c r="Z108" i="16" s="1"/>
  <c r="Z109" i="16" s="1"/>
  <c r="F107" i="16"/>
  <c r="Z148" i="16"/>
  <c r="Z160" i="16" s="1"/>
  <c r="Z173" i="16" s="1"/>
  <c r="O106" i="16"/>
  <c r="Y72" i="16"/>
  <c r="Y108" i="16" s="1"/>
  <c r="AA72" i="16"/>
  <c r="AA108" i="16" s="1"/>
  <c r="AA109" i="16" s="1"/>
  <c r="AC72" i="16"/>
  <c r="X148" i="16"/>
  <c r="X160" i="16" s="1"/>
  <c r="X173" i="16" s="1"/>
  <c r="W148" i="16"/>
  <c r="W160" i="16" s="1"/>
  <c r="W173" i="16" s="1"/>
  <c r="H95" i="19"/>
  <c r="H126" i="11"/>
  <c r="H140" i="19"/>
  <c r="D135" i="11"/>
  <c r="D138" i="19" s="1"/>
  <c r="E140" i="19"/>
  <c r="C126" i="11"/>
  <c r="C140" i="19"/>
  <c r="H87" i="11"/>
  <c r="H90" i="19" s="1"/>
  <c r="J16" i="13"/>
  <c r="H80" i="22"/>
  <c r="H78" i="22"/>
  <c r="G135" i="11"/>
  <c r="G138" i="19" s="1"/>
  <c r="F135" i="11"/>
  <c r="F138" i="19" s="1"/>
  <c r="G135" i="19"/>
  <c r="D135" i="19"/>
  <c r="F135" i="19"/>
  <c r="G10" i="14"/>
  <c r="G10" i="22" s="1"/>
  <c r="G8" i="22"/>
  <c r="K94" i="19"/>
  <c r="D53" i="13"/>
  <c r="H79" i="22"/>
  <c r="I135" i="19"/>
  <c r="I139" i="19"/>
  <c r="C135" i="19"/>
  <c r="C135" i="11"/>
  <c r="C138" i="19" s="1"/>
  <c r="G71" i="21"/>
  <c r="H88" i="11"/>
  <c r="H91" i="19" s="1"/>
  <c r="F94" i="19"/>
  <c r="H94" i="19" s="1"/>
  <c r="F7" i="13"/>
  <c r="J6" i="13" s="1"/>
  <c r="J8" i="13" s="1"/>
  <c r="F5" i="21"/>
  <c r="F7" i="21" s="1"/>
  <c r="K115" i="19"/>
  <c r="H88" i="14"/>
  <c r="K88" i="14" s="1"/>
  <c r="H86" i="22"/>
  <c r="H88" i="22" s="1"/>
  <c r="O160" i="16" l="1"/>
  <c r="O173" i="16" s="1"/>
  <c r="M35" i="23"/>
  <c r="O35" i="23" s="1"/>
  <c r="M37" i="15"/>
  <c r="N35" i="15"/>
  <c r="N35" i="23" s="1"/>
  <c r="I175" i="16"/>
  <c r="D173" i="16"/>
  <c r="D177" i="16" s="1"/>
  <c r="Y175" i="16"/>
  <c r="W108" i="16"/>
  <c r="W109" i="16" s="1"/>
  <c r="Q175" i="16"/>
  <c r="AC160" i="16"/>
  <c r="AC173" i="16" s="1"/>
  <c r="J175" i="16"/>
  <c r="E175" i="16"/>
  <c r="X73" i="16"/>
  <c r="R175" i="16"/>
  <c r="V175" i="16"/>
  <c r="AC108" i="16"/>
  <c r="Z175" i="16"/>
  <c r="C175" i="16"/>
  <c r="C177" i="16"/>
  <c r="H175" i="16"/>
  <c r="F173" i="16"/>
  <c r="F177" i="16" s="1"/>
  <c r="T175" i="16"/>
  <c r="G161" i="16"/>
  <c r="G177" i="16"/>
  <c r="G175" i="16"/>
  <c r="U173" i="16"/>
  <c r="U175" i="16" s="1"/>
  <c r="O108" i="16"/>
  <c r="S173" i="16"/>
  <c r="S175" i="16" s="1"/>
  <c r="S161" i="16"/>
  <c r="X109" i="16"/>
  <c r="X175" i="16"/>
  <c r="AA175" i="16"/>
  <c r="H91" i="11"/>
  <c r="D140" i="19"/>
  <c r="D126" i="11"/>
  <c r="G140" i="19"/>
  <c r="F140" i="19"/>
  <c r="K141" i="19" s="1"/>
  <c r="F126" i="11"/>
  <c r="H81" i="14"/>
  <c r="H81" i="22"/>
  <c r="K95" i="19"/>
  <c r="D52" i="13"/>
  <c r="D47" i="21"/>
  <c r="D52" i="21" s="1"/>
  <c r="I138" i="19"/>
  <c r="L94" i="19"/>
  <c r="F47" i="13"/>
  <c r="F50" i="21"/>
  <c r="I56" i="21"/>
  <c r="I56" i="13"/>
  <c r="O175" i="16" l="1"/>
  <c r="E59" i="39"/>
  <c r="E60" i="39" s="1"/>
  <c r="E61" i="39" s="1"/>
  <c r="D175" i="16"/>
  <c r="N37" i="15"/>
  <c r="K91" i="11"/>
  <c r="K93" i="11" s="1"/>
  <c r="J92" i="11"/>
  <c r="W175" i="16"/>
  <c r="AC175" i="16"/>
  <c r="F175" i="16"/>
  <c r="I126" i="11"/>
  <c r="I140" i="19"/>
  <c r="L141" i="19" s="1"/>
  <c r="K114" i="19"/>
  <c r="K116" i="19" s="1"/>
  <c r="L95" i="19"/>
  <c r="F52" i="13"/>
  <c r="F47" i="21"/>
  <c r="F52" i="21" s="1"/>
  <c r="N175" i="16"/>
  <c r="K162" i="19" l="1"/>
  <c r="K164" i="19" s="1"/>
  <c r="I55" i="13"/>
  <c r="I57" i="13" s="1"/>
  <c r="I23" i="13"/>
  <c r="K23" i="13" s="1"/>
  <c r="I55" i="21"/>
  <c r="I57" i="21" s="1"/>
  <c r="N39" i="23" l="1"/>
  <c r="J65" i="14" l="1"/>
  <c r="G44" i="14"/>
  <c r="H44" i="14"/>
  <c r="H65" i="14" s="1"/>
  <c r="H67" i="14" s="1"/>
  <c r="G65" i="14" l="1"/>
  <c r="J67" i="14" s="1"/>
  <c r="G44" i="22"/>
  <c r="G65" i="22" s="1"/>
  <c r="H44" i="22"/>
  <c r="H65" i="22" s="1"/>
  <c r="J66" i="22" s="1"/>
  <c r="K83" i="28" l="1"/>
  <c r="K70" i="28" l="1"/>
  <c r="L69" i="28" s="1"/>
  <c r="E100" i="28" l="1"/>
  <c r="E96" i="28" l="1"/>
  <c r="K96" i="28" s="1"/>
  <c r="K100" i="28"/>
  <c r="E98" i="28" l="1"/>
  <c r="L98" i="28" l="1"/>
  <c r="K98" i="28"/>
  <c r="F112" i="41" l="1"/>
  <c r="K112" i="41" s="1"/>
  <c r="I109" i="41" l="1"/>
  <c r="I107" i="41" s="1"/>
  <c r="I98" i="41"/>
  <c r="H98" i="41"/>
  <c r="G108" i="41"/>
  <c r="G107" i="41" s="1"/>
  <c r="G114" i="41" s="1"/>
  <c r="G97" i="41" s="1"/>
  <c r="E118" i="41" l="1"/>
  <c r="E117" i="41" s="1"/>
  <c r="F109" i="41"/>
  <c r="F108" i="41"/>
  <c r="I104" i="41"/>
  <c r="I102" i="41" s="1"/>
  <c r="I114" i="41" s="1"/>
  <c r="F122" i="41"/>
  <c r="H122" i="41"/>
  <c r="H121" i="41" s="1"/>
  <c r="I122" i="41"/>
  <c r="I121" i="41" s="1"/>
  <c r="I125" i="41" s="1"/>
  <c r="F118" i="41"/>
  <c r="E106" i="41"/>
  <c r="K106" i="41" s="1"/>
  <c r="H104" i="41"/>
  <c r="H102" i="41" s="1"/>
  <c r="I128" i="41" l="1"/>
  <c r="I130" i="41" s="1"/>
  <c r="I97" i="41"/>
  <c r="F104" i="41"/>
  <c r="F102" i="41" s="1"/>
  <c r="F117" i="41"/>
  <c r="H118" i="41"/>
  <c r="H117" i="41" s="1"/>
  <c r="H125" i="41" s="1"/>
  <c r="G118" i="41"/>
  <c r="G117" i="41" s="1"/>
  <c r="F121" i="41"/>
  <c r="K122" i="41"/>
  <c r="H108" i="41"/>
  <c r="K108" i="41" s="1"/>
  <c r="F107" i="41"/>
  <c r="E104" i="41"/>
  <c r="H109" i="41"/>
  <c r="G122" i="41"/>
  <c r="G121" i="41" s="1"/>
  <c r="F125" i="41" l="1"/>
  <c r="H107" i="41"/>
  <c r="H114" i="41" s="1"/>
  <c r="H128" i="41" s="1"/>
  <c r="H130" i="41" s="1"/>
  <c r="I132" i="41" s="1"/>
  <c r="K109" i="41"/>
  <c r="L118" i="41"/>
  <c r="G125" i="41"/>
  <c r="G128" i="41" s="1"/>
  <c r="G130" i="41" s="1"/>
  <c r="L116" i="41"/>
  <c r="L112" i="41"/>
  <c r="M112" i="41" s="1"/>
  <c r="N113" i="41" s="1"/>
  <c r="F129" i="41"/>
  <c r="K104" i="41"/>
  <c r="E102" i="41"/>
  <c r="F114" i="41"/>
  <c r="L114" i="41"/>
  <c r="H97" i="41" l="1"/>
  <c r="K107" i="41"/>
  <c r="M114" i="41"/>
  <c r="M116" i="41" s="1"/>
  <c r="N114" i="41"/>
  <c r="O114" i="41" s="1"/>
  <c r="E123" i="41"/>
  <c r="F97" i="41"/>
  <c r="F128" i="41"/>
  <c r="F130" i="41" s="1"/>
  <c r="E114" i="41"/>
  <c r="E129" i="41" l="1"/>
  <c r="E97" i="41"/>
  <c r="E121" i="41"/>
  <c r="K123" i="41"/>
  <c r="K121" i="41" l="1"/>
  <c r="E125" i="41"/>
  <c r="E128" i="41" l="1"/>
  <c r="E130" i="41" l="1"/>
  <c r="F247" i="41" l="1"/>
  <c r="F282" i="41"/>
  <c r="F279" i="41" l="1"/>
  <c r="H282" i="41"/>
  <c r="J129" i="41" l="1"/>
  <c r="J102" i="41"/>
  <c r="J118" i="41" l="1"/>
  <c r="J114" i="41"/>
  <c r="K102" i="41"/>
  <c r="I133" i="41" l="1"/>
  <c r="K114" i="41"/>
  <c r="J117" i="41"/>
  <c r="K118" i="41"/>
  <c r="M118" i="41" s="1"/>
  <c r="J125" i="41" l="1"/>
  <c r="K117" i="41"/>
  <c r="L115" i="41"/>
  <c r="O115" i="41"/>
  <c r="K125" i="41" l="1"/>
  <c r="J128" i="41"/>
  <c r="J130" i="41" l="1"/>
  <c r="K128" i="41"/>
  <c r="L128" i="41" s="1"/>
  <c r="L163" i="41" l="1"/>
  <c r="C6" i="8" l="1"/>
  <c r="G6" i="8" s="1"/>
  <c r="D67" i="5"/>
  <c r="D68" i="5" s="1"/>
  <c r="I298" i="41"/>
  <c r="D59" i="37"/>
  <c r="N59" i="37"/>
  <c r="C8" i="8" l="1"/>
  <c r="G8" i="8" s="1"/>
  <c r="L59" i="37"/>
  <c r="C12" i="8" l="1"/>
  <c r="C15" i="40"/>
  <c r="O59" i="37"/>
  <c r="D65" i="37" l="1"/>
  <c r="N65" i="37"/>
  <c r="N67" i="37" s="1"/>
  <c r="L65" i="37" l="1"/>
  <c r="D67" i="37"/>
  <c r="D68" i="37" s="1"/>
  <c r="D69" i="37" s="1"/>
  <c r="E69" i="37" l="1"/>
  <c r="E70" i="37" s="1"/>
  <c r="O65" i="37"/>
  <c r="L67" i="37"/>
  <c r="J15" i="40" l="1"/>
  <c r="L68" i="37"/>
  <c r="L69" i="37" s="1"/>
  <c r="O67" i="37"/>
  <c r="K66" i="14" l="1"/>
  <c r="K67" i="14" s="1"/>
  <c r="K65" i="22"/>
  <c r="K66" i="22" s="1"/>
  <c r="F319" i="28"/>
  <c r="D26" i="6"/>
  <c r="D28" i="6" s="1"/>
  <c r="G66" i="14"/>
  <c r="E320" i="28"/>
  <c r="J66" i="14" l="1"/>
  <c r="G67" i="14"/>
  <c r="K69" i="14" l="1"/>
  <c r="K70" i="14" s="1"/>
  <c r="J68" i="14"/>
  <c r="I9" i="40" l="1"/>
  <c r="J9" i="40" l="1"/>
  <c r="J14" i="40" s="1"/>
  <c r="J16" i="40" s="1"/>
  <c r="I14" i="40"/>
  <c r="I15" i="40" s="1"/>
  <c r="G9" i="8"/>
  <c r="G12" i="8" s="1"/>
  <c r="F1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69" authorId="0" shapeId="0" xr:uid="{00000000-0006-0000-1300-000001000000}">
      <text>
        <r>
          <rPr>
            <b/>
            <sz val="9"/>
            <color indexed="81"/>
            <rFont val="Tahoma"/>
            <family val="2"/>
          </rPr>
          <t>User:</t>
        </r>
        <r>
          <rPr>
            <sz val="9"/>
            <color indexed="81"/>
            <rFont val="Tahoma"/>
            <family val="2"/>
          </rPr>
          <t xml:space="preserve">
selbeg sav baglaa</t>
        </r>
      </text>
    </comment>
    <comment ref="F71" authorId="0" shapeId="0" xr:uid="{00000000-0006-0000-1300-000002000000}">
      <text>
        <r>
          <rPr>
            <b/>
            <sz val="9"/>
            <color indexed="81"/>
            <rFont val="Tahoma"/>
            <family val="2"/>
          </rPr>
          <t>User:</t>
        </r>
        <r>
          <rPr>
            <sz val="9"/>
            <color indexed="81"/>
            <rFont val="Tahoma"/>
            <family val="2"/>
          </rPr>
          <t xml:space="preserve">
uildver orlogo</t>
        </r>
      </text>
    </comment>
    <comment ref="E89" authorId="0" shapeId="0" xr:uid="{00000000-0006-0000-1300-000003000000}">
      <text>
        <r>
          <rPr>
            <b/>
            <sz val="9"/>
            <color indexed="81"/>
            <rFont val="Tahoma"/>
            <family val="2"/>
          </rPr>
          <t>User:</t>
        </r>
        <r>
          <rPr>
            <sz val="9"/>
            <color indexed="81"/>
            <rFont val="Tahoma"/>
            <family val="2"/>
          </rPr>
          <t xml:space="preserve">
mongol daatgal</t>
        </r>
      </text>
    </comment>
    <comment ref="E468" authorId="0" shapeId="0" xr:uid="{00000000-0006-0000-1300-000004000000}">
      <text>
        <r>
          <rPr>
            <b/>
            <sz val="9"/>
            <color indexed="81"/>
            <rFont val="Tahoma"/>
            <family val="2"/>
          </rPr>
          <t>User:</t>
        </r>
        <r>
          <rPr>
            <sz val="9"/>
            <color indexed="81"/>
            <rFont val="Tahoma"/>
            <family val="2"/>
          </rPr>
          <t xml:space="preserve">
Su zahiral oruulah eseh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tb1112601kb</author>
    <author>Gobi</author>
    <author>SelengeDIR</author>
  </authors>
  <commentList>
    <comment ref="B81" authorId="0" shapeId="0" xr:uid="{00000000-0006-0000-1C00-000001000000}">
      <text>
        <r>
          <rPr>
            <b/>
            <sz val="8"/>
            <color indexed="81"/>
            <rFont val="Tahoma"/>
            <family val="2"/>
          </rPr>
          <t>tb1112601kb:</t>
        </r>
        <r>
          <rPr>
            <sz val="8"/>
            <color indexed="81"/>
            <rFont val="Tahoma"/>
            <family val="2"/>
          </rPr>
          <t xml:space="preserve">
бараа материал акталсан дүн/өртгөөр/+үйлдвэрлэлийн хэвийн бус хорогдол</t>
        </r>
      </text>
    </comment>
    <comment ref="B83" authorId="0" shapeId="0" xr:uid="{00000000-0006-0000-1C00-000002000000}">
      <text>
        <r>
          <rPr>
            <b/>
            <sz val="8"/>
            <color indexed="81"/>
            <rFont val="Tahoma"/>
            <family val="2"/>
          </rPr>
          <t>tb1112601kb:</t>
        </r>
        <r>
          <rPr>
            <sz val="8"/>
            <color indexed="81"/>
            <rFont val="Tahoma"/>
            <family val="2"/>
          </rPr>
          <t xml:space="preserve">
акталсан үндсэн хөрөнгийн үлдэх өртөг+худалдсан үндсэн хөрөнгийн үлдэх өртөг</t>
        </r>
      </text>
    </comment>
    <comment ref="B84" authorId="0" shapeId="0" xr:uid="{00000000-0006-0000-1C00-000003000000}">
      <text>
        <r>
          <rPr>
            <b/>
            <sz val="8"/>
            <color indexed="81"/>
            <rFont val="Tahoma"/>
            <family val="2"/>
          </rPr>
          <t>tb1112601kb:</t>
        </r>
        <r>
          <rPr>
            <sz val="8"/>
            <color indexed="81"/>
            <rFont val="Tahoma"/>
            <family val="2"/>
          </rPr>
          <t xml:space="preserve">
бараа матераилын хасагдуулга</t>
        </r>
      </text>
    </comment>
    <comment ref="J105" authorId="1" shapeId="0" xr:uid="{00000000-0006-0000-1C00-000004000000}">
      <text>
        <r>
          <rPr>
            <b/>
            <sz val="9"/>
            <color indexed="81"/>
            <rFont val="Tahoma"/>
            <family val="2"/>
          </rPr>
          <t>Gobi:</t>
        </r>
        <r>
          <rPr>
            <sz val="9"/>
            <color indexed="81"/>
            <rFont val="Tahoma"/>
            <family val="2"/>
          </rPr>
          <t xml:space="preserve">
353 say tug Gadaad avlagaas uussen hansh bodit bus ashig</t>
        </r>
      </text>
    </comment>
    <comment ref="N214" authorId="2" shapeId="0" xr:uid="{00000000-0006-0000-1C00-000005000000}">
      <text>
        <r>
          <rPr>
            <b/>
            <sz val="9"/>
            <color indexed="81"/>
            <rFont val="Tahoma"/>
            <family val="2"/>
          </rPr>
          <t>SelengeDIR:</t>
        </r>
        <r>
          <rPr>
            <sz val="9"/>
            <color indexed="81"/>
            <rFont val="Tahoma"/>
            <family val="2"/>
          </rPr>
          <t xml:space="preserve">
bm nuutc</t>
        </r>
      </text>
    </comment>
  </commentList>
</comments>
</file>

<file path=xl/sharedStrings.xml><?xml version="1.0" encoding="utf-8"?>
<sst xmlns="http://schemas.openxmlformats.org/spreadsheetml/2006/main" count="4779" uniqueCount="1450">
  <si>
    <t>( Аж ахуйн нэгжийн нэр )</t>
  </si>
  <si>
    <t xml:space="preserve"> /төгрөгөөр/</t>
  </si>
  <si>
    <t>77 дугаар тушаалын</t>
  </si>
  <si>
    <t>Сангийн сайдын 2012 оны</t>
  </si>
  <si>
    <t>Мөрийн дугаар</t>
  </si>
  <si>
    <t>Үзүүлэлт</t>
  </si>
  <si>
    <t>Үлдэгдэл</t>
  </si>
  <si>
    <t>Эргэлтийн хөрөнгө</t>
  </si>
  <si>
    <t>Мөнгө,түүнтэй адилтгах хөрөнгө</t>
  </si>
  <si>
    <t>Дансны авлага</t>
  </si>
  <si>
    <t>Бусад авлага</t>
  </si>
  <si>
    <t>Бусад санхүүгийн хөрөнгө</t>
  </si>
  <si>
    <t>Бараа материал</t>
  </si>
  <si>
    <t>Урьдчилж төлсөн зардал/тооцоо</t>
  </si>
  <si>
    <t>Бусад эргэлтийн хөрөнгө</t>
  </si>
  <si>
    <t>Борлуулах зорилгоор эзэмшиж буй эргэлтийн бус хөрөнгө (борлуулах бүлэг хөрөнгө)</t>
  </si>
  <si>
    <t>Үндсэн хөрөнгө</t>
  </si>
  <si>
    <t>Биет бус хөрөнгө</t>
  </si>
  <si>
    <t>Биологийн хөрөнгө</t>
  </si>
  <si>
    <t>Урт хугацаат хөрөнгө оруулалт</t>
  </si>
  <si>
    <t>Хайгуул ба үнэлгээний хөрөнгө</t>
  </si>
  <si>
    <t>Хойшлогдсон татварын хөрөнгө</t>
  </si>
  <si>
    <t>Хөрөнгө оруулалтын зориулалттай үл хөдлөх хөрөнгө</t>
  </si>
  <si>
    <t>Бусад эргэлтийн бус хөрөнгө</t>
  </si>
  <si>
    <t>Дансны өглөг</t>
  </si>
  <si>
    <t>Цалингийн өглөг</t>
  </si>
  <si>
    <t>Татварын өр</t>
  </si>
  <si>
    <t>Богино хугацаат зээл</t>
  </si>
  <si>
    <t>Хүүний өглөг</t>
  </si>
  <si>
    <t>Ногдол ашгийн өглөг</t>
  </si>
  <si>
    <t>Урьдчилж орсон орлого</t>
  </si>
  <si>
    <t>Нөөц /өр төлбөр/</t>
  </si>
  <si>
    <t>Бусад богино хугацаат өр төлбөр</t>
  </si>
  <si>
    <t>Борлуулах зорилгоор эзэмшиж буй эргэлтийн бус хөрөнгө (борлуулах бүлэг хөрөнгө) - нд хамаарах өр төлбөр</t>
  </si>
  <si>
    <t>2.1.2.1</t>
  </si>
  <si>
    <t>Урт хугацаат зээл</t>
  </si>
  <si>
    <t>2.1.2.2</t>
  </si>
  <si>
    <t>2.1.2.3</t>
  </si>
  <si>
    <t>Хойшлогдсон татварын өр</t>
  </si>
  <si>
    <t>2.1.2.4</t>
  </si>
  <si>
    <t>Бусад урт хугацаат өр төлбөр</t>
  </si>
  <si>
    <t>2.1.2.5</t>
  </si>
  <si>
    <t>2.3.1</t>
  </si>
  <si>
    <t>2.3.2</t>
  </si>
  <si>
    <t>хувийн</t>
  </si>
  <si>
    <t>2.3.3</t>
  </si>
  <si>
    <t>хувьцаат</t>
  </si>
  <si>
    <t>2.3.4</t>
  </si>
  <si>
    <t>Халаасны хувьцаа</t>
  </si>
  <si>
    <t>2.3.5</t>
  </si>
  <si>
    <t>Нэмж төлөгдсөн капитал</t>
  </si>
  <si>
    <t>2.3.6</t>
  </si>
  <si>
    <t>Хөрөнгийн дахин үнэлгээний нэмэгдэл</t>
  </si>
  <si>
    <t>2.3.7</t>
  </si>
  <si>
    <t>Гадаад валютын хөрвүүлэлтийн нөөц</t>
  </si>
  <si>
    <t>2.3.8</t>
  </si>
  <si>
    <t>Эздийн өмчийн бусад хэсэг</t>
  </si>
  <si>
    <t>2.3.9</t>
  </si>
  <si>
    <t>Хуримтлагдсан ашиг</t>
  </si>
  <si>
    <t>2.3.10</t>
  </si>
  <si>
    <t>Борлуулалтын өртөг</t>
  </si>
  <si>
    <t>Түрээсийн орлого</t>
  </si>
  <si>
    <t>Хүүний орлого</t>
  </si>
  <si>
    <t>Ногдол ашгийн орлого</t>
  </si>
  <si>
    <t>Эрхийн шимтгэлийн орлого</t>
  </si>
  <si>
    <t>Бусад орлого</t>
  </si>
  <si>
    <t>Борлуулалт, маркетингийн зардал</t>
  </si>
  <si>
    <t>Ерөнхий ба удирдлагын зардал</t>
  </si>
  <si>
    <t>Санхүүгийн зардал</t>
  </si>
  <si>
    <t>Бусад зардал</t>
  </si>
  <si>
    <t>Гадаад валютын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</si>
  <si>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</si>
  <si>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</si>
  <si>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</si>
  <si>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(алдагдал)</t>
  </si>
  <si>
    <t>Орлогын татварын зардал</t>
  </si>
  <si>
    <t>Хөрөнгийн дахин үнэлгээний нэмэгдлийн зөрүү</t>
  </si>
  <si>
    <t>Гадаад валютын хөрвүүлэлтийн зөрүү</t>
  </si>
  <si>
    <t>Бусад олз (гарз)</t>
  </si>
  <si>
    <t>№</t>
  </si>
  <si>
    <t>ҮЗҮҮЛЭЛТ</t>
  </si>
  <si>
    <t>Өмч</t>
  </si>
  <si>
    <t>Нийт дүн</t>
  </si>
  <si>
    <t>Нягтлан бодох бүртгэлийн бодлогын өөрчлөлтийн нөлөө, алдааны залруулга</t>
  </si>
  <si>
    <t>Тайлант үеийн цэвэр ашиг (алдагдал)</t>
  </si>
  <si>
    <t>Бусад дэлгэрэнгүй орлого</t>
  </si>
  <si>
    <t>Өмчид гарсан өөрчлөлт</t>
  </si>
  <si>
    <t>Зарласан ногдол ашиг</t>
  </si>
  <si>
    <t>Дахин үнэлгээний нэмэгдлийн хэрэгжсэн дүн</t>
  </si>
  <si>
    <t>Мөнгөн орлогын дүн (+)</t>
  </si>
  <si>
    <t>Бараа борлуулсан, үйлчилгээ үзүүлсний орлого</t>
  </si>
  <si>
    <t>Эрхийн шимтгэл, хураамж, төлбөрийн орлого</t>
  </si>
  <si>
    <t>Буцаан авсан албан татвар</t>
  </si>
  <si>
    <t>Татаас, санхүүжилтийн орлого</t>
  </si>
  <si>
    <t>Бусад мөнгөн орлого</t>
  </si>
  <si>
    <t>Мөнгөн зарлагын дүн (-)</t>
  </si>
  <si>
    <t>Ажиллагчдад төлсөн</t>
  </si>
  <si>
    <t>Нийгмийн даатгалын байгууллагад төлсөн</t>
  </si>
  <si>
    <t>Түлш шатахуун, тээврийн хөлс, сэлбэг хэрэгсэлд төлсөн</t>
  </si>
  <si>
    <t>Татварын байгууллагад төлсөн</t>
  </si>
  <si>
    <t>Бусад мөнгөн зарлага</t>
  </si>
  <si>
    <t>Үндсэн хөрөнгө борлуулсны орлого</t>
  </si>
  <si>
    <t>Биет бус хөрөнгө борлуулсны орлого</t>
  </si>
  <si>
    <t>Хөрөнгө оруулалт борлуулсны орлого</t>
  </si>
  <si>
    <t>Бусад урт хугацаат хөрөнгө борлуулсны орлого</t>
  </si>
  <si>
    <t>Бусдад олгосон зээл, мөнгөн урьдчилгааны буцаан төлөлт</t>
  </si>
  <si>
    <t>Хүлээн авсан хүүний орлого</t>
  </si>
  <si>
    <t>Хүлээн авсан ногдол ашиг</t>
  </si>
  <si>
    <t>Үндсэн хөрөнгө олж эзэмшихэд төлсөн</t>
  </si>
  <si>
    <t>Биет бус хөрөнгө олж эзэмшихэд төлсөн</t>
  </si>
  <si>
    <t>Бусад урт хугацаат хөрөнгө олж эзэмшихэд төлсөн</t>
  </si>
  <si>
    <t>Бусдад олгосон зээл болон урьдчилгаа</t>
  </si>
  <si>
    <t>Төрөл бүрийн хандив</t>
  </si>
  <si>
    <t>Зээл, өрийн үнэт цаасны төлбөрт төлсөн мөнгө</t>
  </si>
  <si>
    <t>Утас :</t>
  </si>
  <si>
    <t>Санхүүгийн үйл ажиллагааны мөнгөн гүйлгээ</t>
  </si>
  <si>
    <t>3 дугаар хавсралт</t>
  </si>
  <si>
    <t>Даатгалын нөхвөрөөс хүлээн авсан мөнгө</t>
  </si>
  <si>
    <t>Бараа материал худалдан авахад төлсөн</t>
  </si>
  <si>
    <t>Ашиглалтын зардалд төлсөн</t>
  </si>
  <si>
    <t>Хүүний төлбөрт төлсөн</t>
  </si>
  <si>
    <t>Даатгалын төлбөрт төлсөн</t>
  </si>
  <si>
    <t>Үндсэн үйл ажиллагааны цэвэр мөнгөн гүйлгээний дун</t>
  </si>
  <si>
    <t>Хөрөнгө оруулалт олж эзэмшихэд төлсөн</t>
  </si>
  <si>
    <t>Хөрөнгө оруулалтын үйл ажиллагааны цэвэр мөнгөн гүйлгээний дүн</t>
  </si>
  <si>
    <t>Бүх цэвэр мөнгөн гүйлгээ</t>
  </si>
  <si>
    <t>Санхүүгийн үйл ажиллагааны цэвэр мөнгөн гүйлгээний дүн</t>
  </si>
  <si>
    <t>Мөнгө, түүнтэй адилтгах хөрөнгийн эхний үлдэгдэл</t>
  </si>
  <si>
    <t>2.1.2.6</t>
  </si>
  <si>
    <t>2.1.1.1</t>
  </si>
  <si>
    <t>2.1.1.2</t>
  </si>
  <si>
    <t>2.1.1.3</t>
  </si>
  <si>
    <t>2.1.1.4</t>
  </si>
  <si>
    <t>2.1.1.5</t>
  </si>
  <si>
    <t>2.1.1.6</t>
  </si>
  <si>
    <t>2.1.1.7</t>
  </si>
  <si>
    <t>2.1.1.8</t>
  </si>
  <si>
    <t>2.1.1.9</t>
  </si>
  <si>
    <t>2.1.1.10</t>
  </si>
  <si>
    <t>2.1.1.11</t>
  </si>
  <si>
    <t>2.1.1.12</t>
  </si>
  <si>
    <t>1.2.1</t>
  </si>
  <si>
    <t>1.2.2</t>
  </si>
  <si>
    <t>1.2.3</t>
  </si>
  <si>
    <t>1.2.4</t>
  </si>
  <si>
    <t>1.2.5</t>
  </si>
  <si>
    <t>1.2.6</t>
  </si>
  <si>
    <t>1.2.7</t>
  </si>
  <si>
    <t>1.2.8</t>
  </si>
  <si>
    <t>1.2.9</t>
  </si>
  <si>
    <t>1.1</t>
  </si>
  <si>
    <t>1.1.1</t>
  </si>
  <si>
    <t>1.1.2</t>
  </si>
  <si>
    <t>1.1.3</t>
  </si>
  <si>
    <t>1.1.4</t>
  </si>
  <si>
    <t>1.1.5</t>
  </si>
  <si>
    <t>1.1.6</t>
  </si>
  <si>
    <t>1.1.7</t>
  </si>
  <si>
    <t>1.1.8</t>
  </si>
  <si>
    <t>1.1.9</t>
  </si>
  <si>
    <t>1.1.10</t>
  </si>
  <si>
    <t>1-р сарын 1</t>
  </si>
  <si>
    <t>бодит байдлын тухай мэдэгдэл</t>
  </si>
  <si>
    <r>
      <t>1.</t>
    </r>
    <r>
      <rPr>
        <sz val="7"/>
        <rFont val="Times New Roman"/>
        <family val="1"/>
      </rPr>
      <t xml:space="preserve"> </t>
    </r>
    <r>
      <rPr>
        <sz val="10"/>
        <rFont val="Times New Roman"/>
        <family val="1"/>
      </rPr>
      <t>Бүх ажил гүйлгээ бодитоор гарсан бөгөөд холбогдох анхан шатны баримтыг үндэслэн нягтлан бодох бүртгэл, санхүүгийн тайланд үнэн зөв тусгасан;</t>
    </r>
  </si>
  <si>
    <r>
      <t>2.</t>
    </r>
    <r>
      <rPr>
        <sz val="7"/>
        <rFont val="Times New Roman"/>
        <family val="1"/>
      </rPr>
      <t xml:space="preserve"> </t>
    </r>
    <r>
      <rPr>
        <sz val="10"/>
        <rFont val="Times New Roman"/>
        <family val="1"/>
      </rPr>
      <t>Санхүүгийн тайланд тусгагдсан бүх тооцоолол үнэн зөв хийгдсэн;</t>
    </r>
  </si>
  <si>
    <r>
      <t>3.</t>
    </r>
    <r>
      <rPr>
        <sz val="7"/>
        <rFont val="Times New Roman"/>
        <family val="1"/>
      </rPr>
      <t xml:space="preserve"> </t>
    </r>
    <r>
      <rPr>
        <sz val="10"/>
        <rFont val="Times New Roman"/>
        <family val="1"/>
      </rPr>
      <t>Аж ахуйн нэгжийн үйл ажиллагааны эдийн засаг, санхүүгийн бүхий л үйл явцыг иж бүрэн хамарсан;</t>
    </r>
  </si>
  <si>
    <r>
      <t>4.</t>
    </r>
    <r>
      <rPr>
        <sz val="7"/>
        <rFont val="Times New Roman"/>
        <family val="1"/>
      </rPr>
      <t xml:space="preserve"> </t>
    </r>
    <r>
      <rPr>
        <sz val="10"/>
        <rFont val="Times New Roman"/>
        <family val="1"/>
      </rPr>
      <t>Тайлант үеийн үр дүнд өмнөх оны ажил гүйлгээнээс шилжин тусгагдаагүй, мөн тайлант оны ажил гүйлгээнээс орхигдсон зүйл байхгүй;</t>
    </r>
  </si>
  <si>
    <r>
      <t>5.</t>
    </r>
    <r>
      <rPr>
        <sz val="7"/>
        <rFont val="Times New Roman"/>
        <family val="1"/>
      </rPr>
      <t xml:space="preserve"> </t>
    </r>
    <r>
      <rPr>
        <sz val="10"/>
        <rFont val="Times New Roman"/>
        <family val="1"/>
      </rPr>
      <t>Бүх хөрөнгө, авлага, өр төлбөр, орлого, зардлыг Санхүүгийн тайлагналын олон улсын стандартын дагуу үнэн зөв тусгасан;</t>
    </r>
  </si>
  <si>
    <r>
      <t>6.</t>
    </r>
    <r>
      <rPr>
        <sz val="7"/>
        <rFont val="Times New Roman"/>
        <family val="1"/>
      </rPr>
      <t xml:space="preserve"> </t>
    </r>
    <r>
      <rPr>
        <sz val="10"/>
        <rFont val="Times New Roman"/>
        <family val="1"/>
      </rPr>
      <t>Энэ тайланд тусгагдсан бүхий л зүйл манай байгууллагын албан ёсны өмчлөлд байдаг бөгөөд орхигдсон зүйл үгүй болно.</t>
    </r>
  </si>
  <si>
    <r>
      <rPr>
        <b/>
        <sz val="11"/>
        <rFont val="Times New Roman"/>
        <family val="1"/>
      </rPr>
      <t>Хянаж хүлээн авсан байгууллагын нэр</t>
    </r>
  </si>
  <si>
    <r>
      <rPr>
        <b/>
        <sz val="11"/>
        <rFont val="Times New Roman"/>
        <family val="1"/>
      </rPr>
      <t>Сар, өдөр</t>
    </r>
  </si>
  <si>
    <r>
      <rPr>
        <b/>
        <sz val="11"/>
        <rFont val="Times New Roman"/>
        <family val="1"/>
      </rPr>
      <t>Гарын үсэг</t>
    </r>
  </si>
  <si>
    <t>Өмч:                         - төрийн</t>
  </si>
  <si>
    <t>Тайлант үеийн дүн</t>
  </si>
  <si>
    <t xml:space="preserve">   Санхүүгийн түрээсийн өглөгт төлсөн</t>
  </si>
  <si>
    <t xml:space="preserve">   Хувьцаа буцаан худалдаж авахад төлсөн</t>
  </si>
  <si>
    <t xml:space="preserve">  Төлсөн ногдол ашиг</t>
  </si>
  <si>
    <t xml:space="preserve">   Хувьцаа болон өмчийн бусад үнэт цаас гаргаснаас хүлээн авсан</t>
  </si>
  <si>
    <t xml:space="preserve">   Зээл авсан, өрийн үнэт цаас гаргаснаас хүлээн авсан </t>
  </si>
  <si>
    <t>САНХҮҮГИЙН ТАЙЛАНГИЙН ТОДРУУЛГА</t>
  </si>
  <si>
    <t>Үйл ажиллагааны үндсэн чиглэл /төрөл/ :</t>
  </si>
  <si>
    <t>а/</t>
  </si>
  <si>
    <t>б/</t>
  </si>
  <si>
    <t>в/</t>
  </si>
  <si>
    <t>Туслах үйл ажиллагааны /төрөл/:</t>
  </si>
  <si>
    <t xml:space="preserve">Салбар төлөөлөгчийн газрын нэр байршил: </t>
  </si>
  <si>
    <t>1. ТАЙЛАН БЭЛТГЭХ ҮНДЭСЛЭЛ</t>
  </si>
  <si>
    <t>Монгол улсын Нягтлан бодох бүртгэлийн тухай, Татарын тухай хуулиудад нийцүүлэн гаргасан заавар, дүрэм, Нягтлан бодох бүртгэлийн Олон Улсын Стандартад нийцүүлэн тайлагнасан болно. Үүнд:</t>
  </si>
  <si>
    <t>Мөнгөн хөрөнгийн бүртгэлийг аккурэл сууриар,</t>
  </si>
  <si>
    <t>2. НЯГТЛАН БОДОХ БҮРТГЭЛИЙН БОДЛОГЫН ӨӨРЧЛӨЛТ</t>
  </si>
  <si>
    <t>Байхгүй</t>
  </si>
  <si>
    <t>3. МӨНГӨ БА ТҮҮНТЭЙ АДИЛТГАХ ХӨРӨНГӨ</t>
  </si>
  <si>
    <t>¹</t>
  </si>
  <si>
    <t>Төрөл</t>
  </si>
  <si>
    <t>Эхний үлдэгдэл</t>
  </si>
  <si>
    <t>Эцсийн үлдэгдэл</t>
  </si>
  <si>
    <t>Касс дахь мөнгө</t>
  </si>
  <si>
    <t>Банкин дахь мөнгө</t>
  </si>
  <si>
    <t>Мөнгө түүнтэй адилтгах хөрөнгө</t>
  </si>
  <si>
    <t>Дүн</t>
  </si>
  <si>
    <t xml:space="preserve">Тэмдэглэл: </t>
  </si>
  <si>
    <t>(Мөнгө, түүнтэй адилтгах хөрөнгөтэй холбоотой тайлбар, тэмдэглэлийг хийнэ.)</t>
  </si>
  <si>
    <t>4. ДАНСНЫ БОЛОН БУСАД АВЛАГА</t>
  </si>
  <si>
    <t>4.1 Дансны авлага</t>
  </si>
  <si>
    <t>Найдваргүй авлагын хасагдуулга</t>
  </si>
  <si>
    <t>Дансны авлага (цэвэр дүнгээр)</t>
  </si>
  <si>
    <t>Нэмэгдсэн</t>
  </si>
  <si>
    <t>Хасагдсан (-)</t>
  </si>
  <si>
    <t xml:space="preserve">                   Төлөгдсөн </t>
  </si>
  <si>
    <t xml:space="preserve">                   Найдваргүй болсон</t>
  </si>
  <si>
    <t>4.2 Татвар, нийгмийн даатгалын шимтгэл (НДШ)-ийн  авлага</t>
  </si>
  <si>
    <t>ААНОАТ-ын авлага</t>
  </si>
  <si>
    <t>НӨАТ-ын авлага</t>
  </si>
  <si>
    <t>НДШ-ийн авлага</t>
  </si>
  <si>
    <t>4.3  Бусад богино хугацаат авлага (төрлөөр ангилна)</t>
  </si>
  <si>
    <t xml:space="preserve">Төрөл </t>
  </si>
  <si>
    <t>Холбоотой талаас авлага (эргэлтийн хөрөнгөнд хамаарах дүн)</t>
  </si>
  <si>
    <t xml:space="preserve">Ажиллагчдаас авах авлага </t>
  </si>
  <si>
    <t>Ногдол ашгийн авлага</t>
  </si>
  <si>
    <t>Хүүний авлага</t>
  </si>
  <si>
    <t>Бусад талуудаас авах авлага</t>
  </si>
  <si>
    <t xml:space="preserve"> Нийт дүн</t>
  </si>
  <si>
    <t>Тэмдэглэл. (Дансны авлагыг төлөгдөх хугацаандаа байгаа, 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t>
  </si>
  <si>
    <t>5. БУСАД САНХҮҮГИЙН ХӨРӨНГӨ</t>
  </si>
  <si>
    <t>6. БАРАА МАТЕРИАЛ</t>
  </si>
  <si>
    <t>Бараа материалын төрөл</t>
  </si>
  <si>
    <t>Түүхий эд материал</t>
  </si>
  <si>
    <t>Дуусаагүй үйлдвэрлэл</t>
  </si>
  <si>
    <t>Бэлэн бүтээгдэхүүн</t>
  </si>
  <si>
    <t xml:space="preserve">Бараа </t>
  </si>
  <si>
    <t>Хангамжийн материал</t>
  </si>
  <si>
    <t>Бусад</t>
  </si>
  <si>
    <t>Эхний үлдэгдэл (өртгөөр)</t>
  </si>
  <si>
    <t>Нэмэгдсэн дүн</t>
  </si>
  <si>
    <t>Хасагдсан дүн (-)</t>
  </si>
  <si>
    <t>Эцсийн үлдэгдэл (өртгөөр)</t>
  </si>
  <si>
    <t>Үнийн бууралтын гарз (-)</t>
  </si>
  <si>
    <t>Үнийн бууралтын буцаалт</t>
  </si>
  <si>
    <t>Дансны цэвэр дүн*</t>
  </si>
  <si>
    <t>Дансны цэвэр дүнгийн эхний, эцсийн үлдэгдлийн нийт дүн нь санхүүгийн байдлын тайлан дахь бараа материалын дансны эхний, эцсийн дүнтэй тэнцүү байна.</t>
  </si>
  <si>
    <t>Тэмдэглэл. (Бараа материалыг өртгийг тодорхойлоход ашигласан арга, бараа материалын бүртгэлийн систем, өртөг болон цэвэр боломжит үнийн аль багыг сонгох аргын талаар тайлбар, тэмдэглэл хийнэ.)</t>
  </si>
  <si>
    <t>7. БОРЛУУЛАХ ЗОРИЛГООР ЭЗЭМШИЖ БУЙ ЭРГЭЛТИЙН БУС ХӨРӨНГӨ (ЭСВЭЛ БОРЛУУЛАХ БҮЛЭГ ХӨРӨНГӨ) БОЛОН ӨР ТӨЛБӨР</t>
  </si>
  <si>
    <t>Тэмдэглэл. (Борлуулах зорилгоор эзэмшиж буй эргэлтийн бус хөрөнгө эсвэл борлуулах бүлэг хөрөнгө болон өр төлбөрийн тодорхойлолт, хэмжилтийн суурь, борлуулалт хийгдсэн аль эсвэл хийгдэхэд хүргэсэн нөхцөл байдал, борлуулах арга, хугацаа, хүлээн зөвшөөрсөн олз ба гарз болон бусад тайлбар, тэмдэглэлийг хийнэ.</t>
  </si>
  <si>
    <t>8. УРЬДЧИЛЖ ТӨЛСӨН ЗАРДАЛ/ТООЦОО</t>
  </si>
  <si>
    <t>Урьдчилж төлсөн зардал</t>
  </si>
  <si>
    <t>Урьдчилж төлсөн түрээс, даатгал</t>
  </si>
  <si>
    <t>Бэлтгэн нийлүүлэгчид төлсөн урьдчилгаа төлбөр</t>
  </si>
  <si>
    <t xml:space="preserve">9. ҮНДСЭН ХӨРӨНГӨ </t>
  </si>
  <si>
    <t>Газрын сайжруулалт</t>
  </si>
  <si>
    <t>Барилга байгууламж</t>
  </si>
  <si>
    <t>Машин, тоног төхөөрөмж</t>
  </si>
  <si>
    <t>Тээврийн хэрэгсэл</t>
  </si>
  <si>
    <t>Тавилга эд хогшил</t>
  </si>
  <si>
    <t>Компьютер, бусад хэрэгсэл</t>
  </si>
  <si>
    <t>Бусад үндсэн хөрөнгө</t>
  </si>
  <si>
    <t>ҮНДСЭН ХӨРӨНГӨ /Өртөг/</t>
  </si>
  <si>
    <t xml:space="preserve">Нэмэгдсэн дүн </t>
  </si>
  <si>
    <t>Өөрөө үйлдвэрлэсэн</t>
  </si>
  <si>
    <t>Худалдаж авсан</t>
  </si>
  <si>
    <t>Үнэ төлбөргүй авсан</t>
  </si>
  <si>
    <t>Дахин үнэлгээний нэмэгдэл</t>
  </si>
  <si>
    <t>Худалдсан</t>
  </si>
  <si>
    <t>Үнэгүй шилжүүлсэн</t>
  </si>
  <si>
    <t>Акталсан</t>
  </si>
  <si>
    <t xml:space="preserve">Үндсэн хөрөнгө дахин ангилсан </t>
  </si>
  <si>
    <t xml:space="preserve">Үндсэн хөрөнгө, ХОЗҮХХ* хооронд дахин ангилсан </t>
  </si>
  <si>
    <t>ХУРИМТЛАГДСАН ЭЛЭГДЭЛ</t>
  </si>
  <si>
    <t xml:space="preserve">Байгуулсан элэгдэл </t>
  </si>
  <si>
    <t>Үнэ цэнийн бууралтын буцаалт</t>
  </si>
  <si>
    <t>Хасагдсан дүн</t>
  </si>
  <si>
    <t xml:space="preserve">Дахин үнэлгээгээр хасагдсан </t>
  </si>
  <si>
    <t>Үнэ цэнийн бууралт</t>
  </si>
  <si>
    <t>ДАНСНЫ ЦЭВЭР ДҮН</t>
  </si>
  <si>
    <t>10. БИЕТ БУС ХӨРӨНГӨ</t>
  </si>
  <si>
    <t>Зохиогчийн эрх</t>
  </si>
  <si>
    <t>Компьютерийн Программ хангамж</t>
  </si>
  <si>
    <t>Патент</t>
  </si>
  <si>
    <t>Барааны тэмдэг</t>
  </si>
  <si>
    <t>Тусгай зөвшөөрөл</t>
  </si>
  <si>
    <t>Газар эзэмших эрх</t>
  </si>
  <si>
    <t>Бусад биет бус хөрөнгө</t>
  </si>
  <si>
    <t>Бүгд</t>
  </si>
  <si>
    <t>Биет бус хөрөнгө /өртөг/</t>
  </si>
  <si>
    <t>Акталж, устгасан</t>
  </si>
  <si>
    <t>Хуримтлагдсан хорогдол</t>
  </si>
  <si>
    <t>Байгуулсан хорогдол</t>
  </si>
  <si>
    <t>Дахин үнэлгээгээр нэмэгдсэн</t>
  </si>
  <si>
    <t>Данснаас хассан хөрөнгийн хорогдол</t>
  </si>
  <si>
    <t>Эхний үлдэгдэл /1.1-2.1/</t>
  </si>
  <si>
    <t>Эцсийн үлдэгдэл /1.4-2.4/</t>
  </si>
  <si>
    <t>11. ДУУСААГҮЙ БАРИЛГА</t>
  </si>
  <si>
    <t>Дуусаагүй барилгын нэр</t>
  </si>
  <si>
    <t xml:space="preserve">Эхэлсэн он </t>
  </si>
  <si>
    <t>Дуусгалтын хувь</t>
  </si>
  <si>
    <t>Нийт төсөвт өртөг</t>
  </si>
  <si>
    <t>Ашиглалтанд орох хугацаа</t>
  </si>
  <si>
    <t>12. БИОЛОГИЙН ХӨРӨНГӨ</t>
  </si>
  <si>
    <t>Биологийн хөрөнгийн төрөл</t>
  </si>
  <si>
    <t>тоо</t>
  </si>
  <si>
    <t>дансны үнэ</t>
  </si>
  <si>
    <t xml:space="preserve">Тэмдэглэл.(Биологийн хөрөнгийн хэмжилтийн суурь болон бусад тайлбар, тэмдэглэлийг хийнэ.) </t>
  </si>
  <si>
    <t>13. УРТ ХУГАЦААТ ХӨРӨНГӨ ОРУУЛАЛТ</t>
  </si>
  <si>
    <t>Хөрөнгө оруулалтын төрөл</t>
  </si>
  <si>
    <t>Хөрөнгө оруулалтын хувь</t>
  </si>
  <si>
    <t>Хөрөнгө оруулалтын дүн</t>
  </si>
  <si>
    <t xml:space="preserve">Тэмдэглэл.(Урт хугацаат хөрөнгө оруулалттай холбоотой бий болсон олз, гарзын дүн, бүртгэсэн аргыг тодруулна. Охин компани, хамтын хяналттай аж ахуйн нэгж, хараат компанид оруулсан хөрөнгө оруулалтыг НББОУС-27 Нэгтгэсэн болон тусдаа санхүүгийн тайлан -ийн дагуу тодруулна.) </t>
  </si>
  <si>
    <t>14. ХӨРӨНГӨ ОРУУЛАЛТЫН ЗОРИУЛАЛТТАЙ ҮЛ ХӨДЛӨХ ХӨРӨНГӨ</t>
  </si>
  <si>
    <t xml:space="preserve">Тэмдэглэл.(Хөрөнгө оруулалтын зориулалттай үл хөдлөх хөрөнгийн хувьд ашигласан хэмжилтийн суурь: бодит үнэ цэнийн загвар ашигладаг бол бодит үнэ цэнийн загвар ашигладаг бол бодит үнэ цэнийг тодорхойлоход ашигласан арга, бодит үнэ цэнийн тохируулгаас үүссэн олз, гарз; хэрэв түрээслэдэг бол түрээсийн орлого, түрээсэлсэн хөрөнгөтэй холбоотой гарсан зардлууд; Хэрэв өртгийн загвар ашигладаг бол хөрөнгийн ашиглалтын хугацаа, элэгдэл тооцох арга болон НББОУС-40 Хөрөнгө оруулалтын зориулалттай үл хөдлөх хөрөнгө-д заасны дагуу бусад тодруулгыг хийнэ. ) </t>
  </si>
  <si>
    <t>15. БУСАД ЭРГЭЛТИЙН БУС ХӨРӨНГӨ</t>
  </si>
  <si>
    <t xml:space="preserve">Нийт дүн </t>
  </si>
  <si>
    <t>16. ӨР ТӨЛБӨР</t>
  </si>
  <si>
    <t>16.1 Дансны өглөг</t>
  </si>
  <si>
    <t>Ангилал</t>
  </si>
  <si>
    <t>Төлөгдөх хугацаандаа байгаа</t>
  </si>
  <si>
    <t>Хугацаа хэтэрсэн</t>
  </si>
  <si>
    <t xml:space="preserve">16.2 Татварын өр </t>
  </si>
  <si>
    <t>Татварын өрийн төрөл</t>
  </si>
  <si>
    <t xml:space="preserve">ААНОАТ-ын өр </t>
  </si>
  <si>
    <t xml:space="preserve">НӨАТ-ын өр </t>
  </si>
  <si>
    <t>ХХОАТатвар</t>
  </si>
  <si>
    <t xml:space="preserve">Бусад татварын өр </t>
  </si>
  <si>
    <t>16.3 Богино хугацаат зээл</t>
  </si>
  <si>
    <t>төгрөгөөр</t>
  </si>
  <si>
    <t>валютаар</t>
  </si>
  <si>
    <t>16.4 Богино хугацаат нөөц (өр төлбөр)</t>
  </si>
  <si>
    <t>Хасагдсан (ашигласан нөөц)</t>
  </si>
  <si>
    <t>Ашиглаагүй буцаан бичсэн дүн</t>
  </si>
  <si>
    <t xml:space="preserve">Баталгаат засварын </t>
  </si>
  <si>
    <t>Нөхөн сэргээлтийн</t>
  </si>
  <si>
    <t>Тэмдэглэл. / Урт хугацаат нөөцийн дүнг тодруулна. Нөөцийн төрлөөр тайлбар , тэмдэглэнэ./</t>
  </si>
  <si>
    <t>16.5 Бусад богино хугацаат өр төлбөр</t>
  </si>
  <si>
    <t>Тэмдэглэл. / Гадаад валютаар илэрхийлэгдсэн богино хугацаат өр төлбөрийн дүнг тусад тодруулна./</t>
  </si>
  <si>
    <t>16.6 Урт хугацаат зээл болон бусад урт хугацаат өр төлбөр</t>
  </si>
  <si>
    <t xml:space="preserve">Урт хугацаат зээлийн дүн </t>
  </si>
  <si>
    <t>Гадаадын байгууллагаас шууд авсан зээл</t>
  </si>
  <si>
    <t>Гадаадын байгууллагаас дамжуулан авсан зээл</t>
  </si>
  <si>
    <t>Дотоодын эх үүсвэрээс авсан зээл</t>
  </si>
  <si>
    <t xml:space="preserve">Бусад урт хугацаат өр төлбөрийн дүн </t>
  </si>
  <si>
    <t>Нийт урт хугацаат өр төлбөр</t>
  </si>
  <si>
    <t>Тэмдэглэл. / Урт хугацаат зээл болон бусад урт хугацаат өр төлбөрийн төрлөөр тайлбар, тэмдэглэл хийнэ./</t>
  </si>
  <si>
    <t>17. ЭЗДИЙН ӨМЧ</t>
  </si>
  <si>
    <t>17.1 Өмч</t>
  </si>
  <si>
    <t>Эргэлтэнд байгаа бүрэн төлөгдсөн энгийн хувьцаа</t>
  </si>
  <si>
    <t>Давуу эрхтэй хувьцаа</t>
  </si>
  <si>
    <t xml:space="preserve">Өмчийн дүн (төгрөгөөр) </t>
  </si>
  <si>
    <t>тоо ширхэг</t>
  </si>
  <si>
    <t xml:space="preserve">Дүн (төгрөгөөр) </t>
  </si>
  <si>
    <t xml:space="preserve">Нэмэгдсэн </t>
  </si>
  <si>
    <t>17.2 Хөрөнгийн дахин үнэлгээний нэмэгдэл</t>
  </si>
  <si>
    <t>Үндсэн хөрөнгийн дахин үнэлгээний нэмэгдэл</t>
  </si>
  <si>
    <t>Биет бус  хөрөнгийн дахин үнэлгээний нэмэгдэл</t>
  </si>
  <si>
    <t xml:space="preserve">Дахин үнэлгээний нэмэгдлийн зөрүү </t>
  </si>
  <si>
    <t>Дахин үнэлсэн хөрөнгийн үнэ цэнийн бууралтын гарзын буцаалт **</t>
  </si>
  <si>
    <t>Хасагдсан дүн /-/</t>
  </si>
  <si>
    <t>Дахин үнэлсэн хөрөнгийн үнэ цэнийн бууралтын гарз***</t>
  </si>
  <si>
    <t xml:space="preserve">**- Дахин үнэлсэн хөрөнгийн өмнөх тайлань хугацаанд ашиг, алдагдлаар хүлээн зөвшөөрсөн үнэ цэнийн бууралтын гарзын дүнгээс хэтэрсэн дүн </t>
  </si>
  <si>
    <t>***- Дахин үнэлсэн хөрөнгийн үнэ цэнийн бууралтын гарз нь тухайн хөрөнгийн дахин үнэлгээний нэмэгдлиын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t>
  </si>
  <si>
    <t>17.3 Гадаад валютын хөрвүүлэлтийн нөөц</t>
  </si>
  <si>
    <t>Хасагдсан /-/</t>
  </si>
  <si>
    <t>Гадаад үйл ажиллагааны хөрвүүлэлтээс үүссэн зөрүү</t>
  </si>
  <si>
    <t>Бүртгэлийн валютын толилуулгын валют руу хөрвүүлснээс үүссэн зөрүү</t>
  </si>
  <si>
    <t xml:space="preserve">17.4 Эздийн өмчийн бусад хэсэг </t>
  </si>
  <si>
    <t>Тэмдэглэл. /Эздийн өмчийн бусад хэсгийн бүрэлдэхүүн тус бүрээр тодруулж тайлбар, тэмдэглэл хийнэ./</t>
  </si>
  <si>
    <t>18. БОРЛУУЛАЛТЫН ОРЛОГО БОЛОН БОРЛУУЛАЛТЫН ӨРТӨГ</t>
  </si>
  <si>
    <t>Өмнөх оны дүн</t>
  </si>
  <si>
    <t>Тайлант оны дүн</t>
  </si>
  <si>
    <t>Борлуулалтын орлого:</t>
  </si>
  <si>
    <t>Бараа бүтээгдэхүүн борлуулсны орлого</t>
  </si>
  <si>
    <t>Ажил үйлчилгээ борлуулсны орлого</t>
  </si>
  <si>
    <t>Нийт борлуулалтын орлого</t>
  </si>
  <si>
    <t>Борлуулалтын буцаалт, хөнгөлөлт, үнийн бууралт /-/</t>
  </si>
  <si>
    <t>Цэвэр борлуулалт</t>
  </si>
  <si>
    <t>Борлуулалтын өртөг:</t>
  </si>
  <si>
    <t>Борлуулсан бараа, бүтээгдэхүүний өртөг</t>
  </si>
  <si>
    <t xml:space="preserve">Борлуулсан ажил, үйлчилгээний өртөг </t>
  </si>
  <si>
    <t>Нийт борлуулалтын өртөг</t>
  </si>
  <si>
    <t>19. БУСАД ОРЛОГО, ОЛЗ (ГАРЗ), АШИГ (АЛДАГДАЛ)</t>
  </si>
  <si>
    <t>19.1 Бусад орлого</t>
  </si>
  <si>
    <t>Орлогын төрөл</t>
  </si>
  <si>
    <t xml:space="preserve">Өмнөх оны дүн </t>
  </si>
  <si>
    <t xml:space="preserve">Тайлант оны дүн </t>
  </si>
  <si>
    <t>Хүүгийн орлого</t>
  </si>
  <si>
    <t>19.2 Гадаад валютын ханшийн зөрүүний олз, гарз</t>
  </si>
  <si>
    <t>Мөнгөн хөрөнгийн үлдэгдэлд хийсэн ханшийн тэгшитгэлийн ханшийн зөрүү</t>
  </si>
  <si>
    <t>Эргэлийн авлага, өр төлбөртэй холбоотой үүссэн ханшийн зөрүү</t>
  </si>
  <si>
    <t>Эргэлийн бус авлага, өр төлбөртэй холбоотой үүссэн ханшийн зөрүү</t>
  </si>
  <si>
    <t>Валютын арилжаанаас үүссэн олз/гарз</t>
  </si>
  <si>
    <t>20. ЗАРДАЛ</t>
  </si>
  <si>
    <t>20.1 Борлуулалт маркетингийн болон ерөнхий ба удирдлагын зардлууд</t>
  </si>
  <si>
    <t>Зардлын төрөл</t>
  </si>
  <si>
    <t>БорМар</t>
  </si>
  <si>
    <t>ЕрУд</t>
  </si>
  <si>
    <t>Ажиллагчдын цалингийн зардал</t>
  </si>
  <si>
    <t>Аж ахуйн нэгжээс төлсөн НДШ-ийн зардал</t>
  </si>
  <si>
    <t xml:space="preserve">Албан татвар, төлбөр, хураамжийн зардал </t>
  </si>
  <si>
    <t>Томилолтын зардал</t>
  </si>
  <si>
    <t>Бичиг хэргийн зардал</t>
  </si>
  <si>
    <t>Шуудан холбооны зардал</t>
  </si>
  <si>
    <t>Мэргэжлийн үйлчилгээний зардал</t>
  </si>
  <si>
    <t>Сургалтын зардал</t>
  </si>
  <si>
    <t>Сонин сэтгүүл захиалгын зардал</t>
  </si>
  <si>
    <t>Даатгалын зардал</t>
  </si>
  <si>
    <t>Ашиглалтын зардал</t>
  </si>
  <si>
    <t>Засварын зардал</t>
  </si>
  <si>
    <t>Элэгдэл, хорогдлын зардал</t>
  </si>
  <si>
    <t>Түрээсийн зардал</t>
  </si>
  <si>
    <t>Харуул хамгаалалтын зардал</t>
  </si>
  <si>
    <t>Цэвэрлэгээ үйлчилгээний зардал</t>
  </si>
  <si>
    <t>Тээврийн зардал</t>
  </si>
  <si>
    <t>Шатахууны зардал</t>
  </si>
  <si>
    <t>Хүлээн авалтын зардал</t>
  </si>
  <si>
    <t>Зар сурталчилгааны зардал</t>
  </si>
  <si>
    <t>Банкны үйлчилгээний зардал</t>
  </si>
  <si>
    <t>Бусдаар гүйцэтгүүлсэн зардал</t>
  </si>
  <si>
    <t>20.2 Бусад зардал</t>
  </si>
  <si>
    <t>Алданги торгуулийн зардал</t>
  </si>
  <si>
    <t>Хандивийн зардал</t>
  </si>
  <si>
    <t>Найдваргүй авлагын зардал</t>
  </si>
  <si>
    <t>Үйл ажиллагааны бус зардал</t>
  </si>
  <si>
    <t>20.3 Цалингийн зардал</t>
  </si>
  <si>
    <t>Ажиллагчдын дундаж тоо</t>
  </si>
  <si>
    <t>Цалингийн зардлын дүн</t>
  </si>
  <si>
    <t>өмнөх оны дүн</t>
  </si>
  <si>
    <t>тайлант оны дүн</t>
  </si>
  <si>
    <t>Үйлдвэрлэл, үйлчлгээний:</t>
  </si>
  <si>
    <t>Борлуулалт, маркетингийн:</t>
  </si>
  <si>
    <t>Ерөнхий ба удирдлагын:</t>
  </si>
  <si>
    <t>21. ОРЛОГЫН ТАТВАРЫН ЗАРДАЛ</t>
  </si>
  <si>
    <t>Тайлангийн үеийн орлогын татварын зардал</t>
  </si>
  <si>
    <t>Хойшлогдсон татварын зардал /орлого/</t>
  </si>
  <si>
    <t xml:space="preserve">Орлогын татварын зардал /орлого/ -ын нийт дүн </t>
  </si>
  <si>
    <t>Тэмдэглэл. /Орлогын татварын зардал  /орлого/-ын бүрэлдэхүүн тус бүрээр тайлбар, тэмдэглэл хийнэ.</t>
  </si>
  <si>
    <t>22. ХОЛБООТОЙ ТАЛУУДТАЙ ХИЙСЭН АЖИЛ ГҮЙЛГЭЭ</t>
  </si>
  <si>
    <t>22.1 Толгой компани, хамгийн дээд хяналт тавигч компани, хувь хүний талаарх мэдээлэл</t>
  </si>
  <si>
    <t>Толгой компани</t>
  </si>
  <si>
    <t>Хамгийн дээд хяналт тавигч толгой компани</t>
  </si>
  <si>
    <t>Хамгийн дээд хяналт тавигч хувь хүн</t>
  </si>
  <si>
    <t>Òàéëáàð</t>
  </si>
  <si>
    <t>Нэр</t>
  </si>
  <si>
    <t>Бүртгэгдсэн /оршин суугаа/ улс</t>
  </si>
  <si>
    <t>Эзэмшлийн хувь</t>
  </si>
  <si>
    <t>****- НББОУС- 24 Холбоотой талуудын тодруулга-д заасны дагуу тодруулна.</t>
  </si>
  <si>
    <t>22.2 Тэргүүлэх удирдлагын бүрэлдэхүүнд олгосон нөхөн олговрын тухай мэдээлэл</t>
  </si>
  <si>
    <t>Тэргүүлэх удирдлага гэдэгт ....................................................................................................................................... бүрэлдэхүүнийг хамруулав.*****</t>
  </si>
  <si>
    <t xml:space="preserve">Нөхөн олговорын нэр </t>
  </si>
  <si>
    <t xml:space="preserve">ªìíºõ îíы дүн </t>
  </si>
  <si>
    <t>Богино болон урт хугацааны тэтгэмж</t>
  </si>
  <si>
    <t>Ажил эрхлэлтийн дараах, ажлаас халагдсаны тэтгэмж</t>
  </si>
  <si>
    <t>Хувьцаанд суурилсан төлбөр</t>
  </si>
  <si>
    <t>*****- Тэргүүлэх удирдлагад ямар бүрэлдэхүүнийг хамруулснаа тодруулна. Тухайлбал, захирлуудын зөвлөл, удирдах зөвлөлийн гишүүд гэх мэт.</t>
  </si>
  <si>
    <t>22.3 Холбоотой талуудтай хийсэн ажил гүйлгээ</t>
  </si>
  <si>
    <t xml:space="preserve">Холбоотой талын нэр </t>
  </si>
  <si>
    <t>Ажил гүйлгээний утга</t>
  </si>
  <si>
    <t xml:space="preserve">Дүн </t>
  </si>
  <si>
    <t>Тайлбар</t>
  </si>
  <si>
    <t xml:space="preserve">23. БОЛЗОШГҮЙ ХӨРӨНГӨ БА ӨР ТӨЛБӨР </t>
  </si>
  <si>
    <t>Тэмдэглэл. (Болзошгүй хөрөнгө ба өр төлбөрийн мөн чанар, хэрэв практик боломжтой бол тэдгээрийн санхүүгийн нөлөөллийн тооцооллыг тодруулна.)</t>
  </si>
  <si>
    <t>24. ТАЙЛАГНАЛЫН ҮЕИЙН ДАРААХ ҮЙЛ ЯВЦ</t>
  </si>
  <si>
    <t>Тэмдэглэл. (Тайлагналын өдрийн дараах үл залруулагдах үйл явдлын материаллаг ангилал тус бүрийн хувьд мөн чанар, санхүүгийн нөлөөллийн тооцоолол зэргийг тодруулж бусад тайлбар, тэмдэглэл хийнэ.)</t>
  </si>
  <si>
    <t>25. ХӨРӨНГӨ ОРУУЛАЛТ</t>
  </si>
  <si>
    <t>Тайлант хугацаанд хийгдсэн хөрөнгө оруулалт (төгрөгөөр)</t>
  </si>
  <si>
    <t xml:space="preserve">Аж ахуйн нэгжийн өөрийн хөрөнгөөр </t>
  </si>
  <si>
    <t>Улсын төсвийн хөрөнгөөр</t>
  </si>
  <si>
    <t>Орон нутгийн төсвийн хөрөнгөөр</t>
  </si>
  <si>
    <t xml:space="preserve"> Банкны зээл</t>
  </si>
  <si>
    <t>Гадаадын шууд хөрөнгө оруулалт</t>
  </si>
  <si>
    <t>Гадаадын зээл</t>
  </si>
  <si>
    <t>Гадаадын буцалтгүй тусламж</t>
  </si>
  <si>
    <t>Төсөл хөтөлбөр хандив</t>
  </si>
  <si>
    <t>Бусад эх үүсвэр</t>
  </si>
  <si>
    <t>Биет хөрөнгө</t>
  </si>
  <si>
    <t>Үүнээс: Үйлдвэрийн барилга</t>
  </si>
  <si>
    <t>Авто зам</t>
  </si>
  <si>
    <t>Машин,тоног төхөөрөмж</t>
  </si>
  <si>
    <t>Компьютер,бусад хөрөнгө</t>
  </si>
  <si>
    <t>Бусад биет хөрөнгө</t>
  </si>
  <si>
    <t>Үүнээс:ХОЗҮХХ</t>
  </si>
  <si>
    <t>1.1.0</t>
  </si>
  <si>
    <t>Биет хөрөнгийн дүн:</t>
  </si>
  <si>
    <t>Компьютер,программ хангамж</t>
  </si>
  <si>
    <t>2.2.1</t>
  </si>
  <si>
    <t>Үүнээс:Прогром хангамж</t>
  </si>
  <si>
    <t>2.2.2</t>
  </si>
  <si>
    <t>Мэдээллийн сан</t>
  </si>
  <si>
    <t>2.7.1</t>
  </si>
  <si>
    <t>Үүнээс:Зураг төсвийн ажил,ТЭЗҮ боловсруулах туршилт судалгаа</t>
  </si>
  <si>
    <t>Биет бус хөрөнгийн дүн:</t>
  </si>
  <si>
    <t>Хайгуул үнэлгээний хөрөнгө</t>
  </si>
  <si>
    <t>Үүнээс: Биет хөрөнгө</t>
  </si>
  <si>
    <t xml:space="preserve">Биет бус хөрөнгө </t>
  </si>
  <si>
    <t>Нийт хөрөнгө:</t>
  </si>
  <si>
    <t>ХОЗҮХХ-Хөрөнгө оруулалтын зориулалттай үл хөдлөх хөрөнгө</t>
  </si>
  <si>
    <t xml:space="preserve">Хаяг </t>
  </si>
  <si>
    <t xml:space="preserve"> Факс: </t>
  </si>
  <si>
    <t>Регистрийн дугаар: 2076357</t>
  </si>
  <si>
    <t>Монгол улс,Улаанбаатар хот,ХУД,3-р хороо,Үйлдвэрийн гудамж 17062</t>
  </si>
  <si>
    <t>Өмчийн хэлбэр : Хувьцаат компани</t>
  </si>
  <si>
    <t xml:space="preserve"> ГОВЬ ХК-ИЙН</t>
  </si>
  <si>
    <t>Сангийн Яам</t>
  </si>
  <si>
    <t>Татварын Ерөнхий Газар</t>
  </si>
  <si>
    <t>Үйлдвэрлэл</t>
  </si>
  <si>
    <t>Гадаад,Дотоод Худалдаа</t>
  </si>
  <si>
    <t>Гүйцэтгэл</t>
  </si>
  <si>
    <t>ҮЛДЭГДЛИЙН ТЭНЦЭЛ (БАЛАНС)</t>
  </si>
  <si>
    <t>ХБГ</t>
  </si>
  <si>
    <t>Компани хоорондын авлага CHECK</t>
  </si>
  <si>
    <t>Компани хоорондын өглөг CHECK</t>
  </si>
  <si>
    <t>Компани: " Ãîâü " ÕÊ</t>
  </si>
  <si>
    <t>Хугацаа: 2013</t>
  </si>
  <si>
    <t>Acc</t>
  </si>
  <si>
    <t>Зүйлс</t>
  </si>
  <si>
    <t xml:space="preserve">1 сар </t>
  </si>
  <si>
    <t xml:space="preserve">2 сар </t>
  </si>
  <si>
    <t xml:space="preserve">3 сар </t>
  </si>
  <si>
    <t xml:space="preserve">4 сар </t>
  </si>
  <si>
    <t xml:space="preserve">5 сар </t>
  </si>
  <si>
    <t xml:space="preserve">6 сар </t>
  </si>
  <si>
    <t xml:space="preserve">7 сар </t>
  </si>
  <si>
    <t xml:space="preserve">8 сар </t>
  </si>
  <si>
    <t xml:space="preserve">9 сар </t>
  </si>
  <si>
    <t xml:space="preserve">10 сар </t>
  </si>
  <si>
    <t xml:space="preserve">11 сар </t>
  </si>
  <si>
    <t xml:space="preserve">12 сар </t>
  </si>
  <si>
    <t>Хөрөнгө</t>
  </si>
  <si>
    <t>Мөнгө ба түүнтэй адилтгах хөрөнгө</t>
  </si>
  <si>
    <t>Касс дах мөнгө</t>
  </si>
  <si>
    <t>Харилцах данс дах мөнгө</t>
  </si>
  <si>
    <t>above 1190</t>
  </si>
  <si>
    <t>Мөнгөтэй адилтгах хөрөнгө</t>
  </si>
  <si>
    <t>Илүүдэл мөнгөн хөрөнгө</t>
  </si>
  <si>
    <t>Авлага</t>
  </si>
  <si>
    <t>Дансны авлага - борлуулалтын</t>
  </si>
  <si>
    <t>Шийдвэрлүүлэх авлага</t>
  </si>
  <si>
    <t xml:space="preserve">Байгууллагаас авах авлага </t>
  </si>
  <si>
    <t xml:space="preserve">Хувь хүмүүсээс авах авлага </t>
  </si>
  <si>
    <t>Ажилчдаас авах авлага</t>
  </si>
  <si>
    <t>Хоорондын тооцооны авлага</t>
  </si>
  <si>
    <t>Борлуулалтын авлага</t>
  </si>
  <si>
    <t>Санхүүжилтийн авлага</t>
  </si>
  <si>
    <t>Зээлийн хүүгийн  авлага</t>
  </si>
  <si>
    <t>Хятад дахь бэлтгэн нийлүүлэгчийн тооцоо</t>
  </si>
  <si>
    <t>Холбоотой талаас авах авлага</t>
  </si>
  <si>
    <t xml:space="preserve">Борлуулалтын авлага </t>
  </si>
  <si>
    <t>Бараа, материал</t>
  </si>
  <si>
    <t>1402-1405</t>
  </si>
  <si>
    <t>Бараа</t>
  </si>
  <si>
    <t>Замд яваа бараа</t>
  </si>
  <si>
    <t>Бараа, материалын хасагдуулга</t>
  </si>
  <si>
    <t>Урьдчилж гарсан зардал, урьдчилгаа төлбөрүүд</t>
  </si>
  <si>
    <t>Урьдчилж гарсан зардал</t>
  </si>
  <si>
    <t>Бараа, үйлчилгээнд урьдчилж төлсөн зардал</t>
  </si>
  <si>
    <t>Бэлтгэн нийлүүлэгчдийн урьдчилгаа</t>
  </si>
  <si>
    <t>Барилгын болон Урт хугацаат гэрээний урьдчилгаа</t>
  </si>
  <si>
    <t>Бусад УГЗ</t>
  </si>
  <si>
    <t>Дараа тайлангийн тооцоо</t>
  </si>
  <si>
    <t>Дараа тайлангийн тооцоо /хангамж/</t>
  </si>
  <si>
    <t>Дараа тайлангийн тооцоо /томилолт/</t>
  </si>
  <si>
    <t>Дараа тайлангийн тооцоо /үндсэн хөрөнгө/</t>
  </si>
  <si>
    <t>Дараа тайлангийн тооцоо /идэвхижүүлэлт/</t>
  </si>
  <si>
    <t>Дараа тайлангийн тооцоо /áóñàä/</t>
  </si>
  <si>
    <t>Татварын авлага</t>
  </si>
  <si>
    <t>ААНБОАТ</t>
  </si>
  <si>
    <t>НӨАТ</t>
  </si>
  <si>
    <t>ХХОАТ</t>
  </si>
  <si>
    <t>Эрүүл мэнд НДШ-ийн авлага</t>
  </si>
  <si>
    <t>Онцгой татвар</t>
  </si>
  <si>
    <t>Үл хөдлөх хөрөнгийн татвар</t>
  </si>
  <si>
    <t>АТБӨЯХ-ийн албан татвар</t>
  </si>
  <si>
    <t>Бусад татвар</t>
  </si>
  <si>
    <t>Богино хугацаат хөрөнгө оруулалт</t>
  </si>
  <si>
    <t>Түргэн хөрвөх үнэт цаас</t>
  </si>
  <si>
    <t>Богино хугацаат хөрөнгө оруулалтын авлага</t>
  </si>
  <si>
    <t>Засгийн газрын үнэт цаас</t>
  </si>
  <si>
    <t>Бусад богино хугацаат хөрөнгө оруулалт</t>
  </si>
  <si>
    <t>УХ ХО-ын богино хугацаанд ногдох хэсэг</t>
  </si>
  <si>
    <t>БХХО-ын хасагдуулга</t>
  </si>
  <si>
    <t>Нийт Эргэлтийн хөрөнгө</t>
  </si>
  <si>
    <t>Эргэлтийн бус хөрөнгө</t>
  </si>
  <si>
    <t>Газар</t>
  </si>
  <si>
    <t>2000</t>
  </si>
  <si>
    <t>Барилга, байгууламж</t>
  </si>
  <si>
    <t>Барилга, байгууламжийн хуримтлагдсан элэгдэл</t>
  </si>
  <si>
    <t>Оффисын Тавилга</t>
  </si>
  <si>
    <t>Оффисын Тавилгын хуримтлагдсан элэгдэл</t>
  </si>
  <si>
    <t>Оффисын Тоног төхөөрөмж</t>
  </si>
  <si>
    <t>Оффисын Тоног төхөөрөмжийн хуримтлагдсан элэгдэл</t>
  </si>
  <si>
    <t>Тээврийн хэрэгслийн хуримтлагдсан элэгдэл</t>
  </si>
  <si>
    <t>Эд хогшил</t>
  </si>
  <si>
    <t>Эд хогшлын хуримтлагдсан элэгдэл</t>
  </si>
  <si>
    <t>Үйлдвэрлэлийн тоног төхөөрөмж</t>
  </si>
  <si>
    <t>Үйлдвэрлэлийн тоног төхөөрөмжийн хуримтлагдсан элэгдэл</t>
  </si>
  <si>
    <t>Дуусаагүй барилга</t>
  </si>
  <si>
    <t xml:space="preserve">Суурьлуулагдаж дуусаагүй тоног төхөөрөмж </t>
  </si>
  <si>
    <t>2101</t>
  </si>
  <si>
    <t>Программ хангамж</t>
  </si>
  <si>
    <t>Программ хангамжийн хуримтлагдсан элэгдэл</t>
  </si>
  <si>
    <t>2112</t>
  </si>
  <si>
    <t>Бусад биет бус хөрөнгийн хуримтлагдсан элэгдэл</t>
  </si>
  <si>
    <t>Гүүдвил</t>
  </si>
  <si>
    <t>Хөрөнгө оруулалт</t>
  </si>
  <si>
    <t>Охин компани дах хөрөнгө оруулалт</t>
  </si>
  <si>
    <t>Хамааралтай компани дах хөрөнгө оруулалт</t>
  </si>
  <si>
    <t>Хамтарсан компанид оруулсан хөрөнгө оруулалт</t>
  </si>
  <si>
    <t>Бусад урт хугацаат хөрөнгө оруулалт</t>
  </si>
  <si>
    <t>Урт хугацаат санхүүжилтийн авлага</t>
  </si>
  <si>
    <t>Хойшлуулсан татвар</t>
  </si>
  <si>
    <t>Нийт Эргэлтийн бус хөрөнгө</t>
  </si>
  <si>
    <t>НИЙТ ХӨРӨНГӨ</t>
  </si>
  <si>
    <t>Өр төлбөр ба Эзэмшигчийн өмч</t>
  </si>
  <si>
    <t>Эргэлтийн өр төлбөр</t>
  </si>
  <si>
    <t>Богино хугацаат дансны өглөг</t>
  </si>
  <si>
    <t>3101</t>
  </si>
  <si>
    <t>Дотоодын бэлтгэн нийлүүлэгчдийн төлбөр</t>
  </si>
  <si>
    <t>3102</t>
  </si>
  <si>
    <t>Гадаадын бэлтгэн нийлүүлэгчдийн төлбөр</t>
  </si>
  <si>
    <t>Байгууллагын өглөг</t>
  </si>
  <si>
    <t>Ажилчдад өгөх өглөг</t>
  </si>
  <si>
    <t>Зээлийн хүүгийн өглөг</t>
  </si>
  <si>
    <t>Хоорондын тооцооны өглөг</t>
  </si>
  <si>
    <t>Санхүүжилтийн өглөг</t>
  </si>
  <si>
    <t>Ногдол ашигийн өглөг</t>
  </si>
  <si>
    <t>Зээлийн хүүгийн  өглөг</t>
  </si>
  <si>
    <t>Хятад дахь бэлтгэн нийлүүлэгч тооцоо</t>
  </si>
  <si>
    <t xml:space="preserve"> Холбоотой талд өгөх өглөг</t>
  </si>
  <si>
    <t>Санхүүжилтын өглөг</t>
  </si>
  <si>
    <t>Татварын өглөг</t>
  </si>
  <si>
    <t>3151</t>
  </si>
  <si>
    <t>3152</t>
  </si>
  <si>
    <t>3153</t>
  </si>
  <si>
    <t>3154</t>
  </si>
  <si>
    <t>Эрүүл мэнд НДШ-ийн өглөг</t>
  </si>
  <si>
    <t>3155</t>
  </si>
  <si>
    <t>3156</t>
  </si>
  <si>
    <t>3157</t>
  </si>
  <si>
    <t>3158</t>
  </si>
  <si>
    <t>Урьдчилж олсон орлого</t>
  </si>
  <si>
    <t>3201</t>
  </si>
  <si>
    <t>Урт хугацаат гэрээний урьдчилгаа</t>
  </si>
  <si>
    <t>Зээлийн шугам</t>
  </si>
  <si>
    <t>УХ зээлийн богинод ногдох хэсэг</t>
  </si>
  <si>
    <t xml:space="preserve">Овердрафтын зээлийн өглөг </t>
  </si>
  <si>
    <t>Нийт Эргэлийн өр төлбөр</t>
  </si>
  <si>
    <t>Урт хугацаат өр төлбөр</t>
  </si>
  <si>
    <t>Бусад урт хугацаат зээлийн өглөг</t>
  </si>
  <si>
    <t>Урт хугацаат өглөг</t>
  </si>
  <si>
    <t>Хүүгүй урт хугацаат өглөг</t>
  </si>
  <si>
    <t>Зээлийн хүүгийн өглөг-Урт хугацаат</t>
  </si>
  <si>
    <t>Хойшлуулсан татварын өглөг</t>
  </si>
  <si>
    <t>Нийт Урт хугацаат өр төлбөр</t>
  </si>
  <si>
    <t>Нийт өр төлбөр</t>
  </si>
  <si>
    <t>Эзэмшигчийн өмч</t>
  </si>
  <si>
    <t>Энгийн хувьцаа</t>
  </si>
  <si>
    <t>Тайлант үеийн ашиг (алдагдал)</t>
  </si>
  <si>
    <t>Хуримтлагдсан ашиг (алдагдал)</t>
  </si>
  <si>
    <t>Дахийн үнэлгээний нөөц</t>
  </si>
  <si>
    <t>Цөөнхийн хувь оролцоо</t>
  </si>
  <si>
    <t>Нийт Эзэмшигчийн өмч</t>
  </si>
  <si>
    <t>НИЙТ ӨР ТӨЛБӨР БА ЭЗЭМШИГЧИЙН ӨМЧИЙН ДҮН</t>
  </si>
  <si>
    <t>check:</t>
  </si>
  <si>
    <t>Харилцахад байгаа 15.9 тэрбум төгрөгийн 15 тэрбум нь хадгаламж хэлбэрээр байгаа болно.</t>
  </si>
  <si>
    <t>ХАОАТ-ын авлага</t>
  </si>
  <si>
    <t>ОРЛОГО ҮР ДҮНГИЙН ТАЙЛАН</t>
  </si>
  <si>
    <t>Нэгтгэлийн данс</t>
  </si>
  <si>
    <t>Нийт борлуулалт</t>
  </si>
  <si>
    <t>Борлуулалтын буцаалт</t>
  </si>
  <si>
    <t>Борлуулалтын хөнгөлөлт</t>
  </si>
  <si>
    <t>Борлуулалтын урамшуулал</t>
  </si>
  <si>
    <t>ББӨ</t>
  </si>
  <si>
    <t>Шууд материал</t>
  </si>
  <si>
    <t>Шууд хөдөлмөр</t>
  </si>
  <si>
    <t>Шууд бус материал</t>
  </si>
  <si>
    <t>Шууд бус хөдөлмөр</t>
  </si>
  <si>
    <t>Элэгдлийн зардал</t>
  </si>
  <si>
    <t>Ахиуц Ашиг</t>
  </si>
  <si>
    <t>Үйл ажиллагааны зардал</t>
  </si>
  <si>
    <t>Цалин, хөдөлмөрийн хөлс</t>
  </si>
  <si>
    <t>Нийгмийн даатгалын шимтгэл</t>
  </si>
  <si>
    <t>Урамшуулал</t>
  </si>
  <si>
    <t>Тээврийн хэрэгслийн зардал</t>
  </si>
  <si>
    <t>Харилцаа холбооны зардал</t>
  </si>
  <si>
    <t>Албан томилолт</t>
  </si>
  <si>
    <t>Хөдөлмөр хамгааллын зардал</t>
  </si>
  <si>
    <t>7300-7302</t>
  </si>
  <si>
    <t>Харилцагчийн идэвхжүүлэлт</t>
  </si>
  <si>
    <t>Баталгаат засварын зардал</t>
  </si>
  <si>
    <t>Борлуулалтын тээврийн зардал</t>
  </si>
  <si>
    <t>7310 ,7312</t>
  </si>
  <si>
    <t>Хүний нөөцийн үйл ажиллагааны зардал</t>
  </si>
  <si>
    <t>Засвар, үйлчилгээний зардал</t>
  </si>
  <si>
    <t>Бусдаар гүйцэтгүүлсэн гэрээт ажил үйлчилгээ</t>
  </si>
  <si>
    <t>Газрын төлбөр</t>
  </si>
  <si>
    <t>Аудит үнэлгээний зардал</t>
  </si>
  <si>
    <t>Гишүүнчлэлийн төлбөр</t>
  </si>
  <si>
    <t>Банкны үйлчилгээний төлбөр</t>
  </si>
  <si>
    <t>Хураамж</t>
  </si>
  <si>
    <t>Хангамжийн материалын зардал</t>
  </si>
  <si>
    <t>Шинжилгээний зардал</t>
  </si>
  <si>
    <t>Харуул, хамгаалалтын зардал</t>
  </si>
  <si>
    <t>Лицензийн төлбөр</t>
  </si>
  <si>
    <t>Бизнес уулзалтын зардал</t>
  </si>
  <si>
    <t>Дотоод хэрэгцээ</t>
  </si>
  <si>
    <t>Баяр ёслолын зардал</t>
  </si>
  <si>
    <t>Тэмцээн уралдааны зардал</t>
  </si>
  <si>
    <t>Бэлэг дурсгалын зардал</t>
  </si>
  <si>
    <t>IT үйлчилгээний зардал</t>
  </si>
  <si>
    <t>Дэмжигдээгүй зээлийн зардал</t>
  </si>
  <si>
    <t>Менежментийн зардал (Хуваарилагдсан)</t>
  </si>
  <si>
    <t>Цэвэр үйл ажиллагааны орлого</t>
  </si>
  <si>
    <t>Бусад орлого (зарлага)</t>
  </si>
  <si>
    <t>8400;8700</t>
  </si>
  <si>
    <t>Валютын ханшийн бодит олз (гарз)</t>
  </si>
  <si>
    <t>8409;8709</t>
  </si>
  <si>
    <t>Алданги, торгуулийн олз (гарз)</t>
  </si>
  <si>
    <t>8411;8711</t>
  </si>
  <si>
    <t>Туслах үйл ажиллагааны орлого (зарлага)</t>
  </si>
  <si>
    <t>Найдваргүй авлагын хасагдуулгын буцаалт</t>
  </si>
  <si>
    <t>Маркетингийн дэмжлэг</t>
  </si>
  <si>
    <t>Хандив</t>
  </si>
  <si>
    <t>8423;8723</t>
  </si>
  <si>
    <t>EBITDA</t>
  </si>
  <si>
    <t>Мөнгөөр бус олз (гарз)</t>
  </si>
  <si>
    <t>Бараа, материалын хэвийн бус хорогдол</t>
  </si>
  <si>
    <t>Акталсан хөрөнгийн зардал</t>
  </si>
  <si>
    <t>Бараа, материалын жишиг үнийн бууралт</t>
  </si>
  <si>
    <t>8401;8701</t>
  </si>
  <si>
    <t>Валютын ханшийн бодит бус олз (гарз)</t>
  </si>
  <si>
    <t>8419;8719-8418;8718-8420;8720</t>
  </si>
  <si>
    <t>Урт хугацаат хөрөнгө борлуулсны олз (гарз)</t>
  </si>
  <si>
    <t>8422;8722</t>
  </si>
  <si>
    <t>Өмчийн аргаар бүртгэсэн хөрөнгө оруулалтын ашиг (алдагдал)</t>
  </si>
  <si>
    <t>8425;8725</t>
  </si>
  <si>
    <t>Үндсэн хөрөнгийн дахин үнэлгээний олз (гарз)</t>
  </si>
  <si>
    <t>EBIT</t>
  </si>
  <si>
    <t>Санхүүжилтийн зардал</t>
  </si>
  <si>
    <t>7401;7405</t>
  </si>
  <si>
    <t>Санхүүжилтийн шимтгэл</t>
  </si>
  <si>
    <t>7402;7405</t>
  </si>
  <si>
    <t>Богино хугацаат зээлийн хүү</t>
  </si>
  <si>
    <t>Урт хугацаат зээлийн хүү</t>
  </si>
  <si>
    <t>Банкны баталгаа, үйлчилгээний шимтгэл</t>
  </si>
  <si>
    <t>EBT</t>
  </si>
  <si>
    <t>Орлогын албан татвар</t>
  </si>
  <si>
    <t>Тайлант хугацааны цэвэр ашиг/ (алдагдал)</t>
  </si>
  <si>
    <t>Бусад барааны өртөг</t>
  </si>
  <si>
    <t>Борлуулалтын үйл ажиллагааны зардал-Дотоод цалин</t>
  </si>
  <si>
    <t>Борлуулалтын үйл ажиллагааны зардал-Дотоод НДШ</t>
  </si>
  <si>
    <t>Борлуулалтын үйл ажиллагааны зардал-Засвар үйлчилгээний зардал</t>
  </si>
  <si>
    <t>Борлуулалтын үйл ажиллагааны зардал-Дотоод Тээврийн зардал</t>
  </si>
  <si>
    <t>Борлуулалтын үйл ажиллагааны зардал-Дотоод Түүхий эд материалын зардал</t>
  </si>
  <si>
    <t>Борлуулалтын үйл ажиллагааны зардал-Хангамжийн материалын зардал</t>
  </si>
  <si>
    <t>Борлуулалтын үйл ажиллагааны зардал-Шуудан холбооны зардал</t>
  </si>
  <si>
    <t>Борлуулалтын үйл ажиллагааны зардал-Шатахууны зардал</t>
  </si>
  <si>
    <t>Борлуулалтын үйл ажиллагааны зардал-Элэгдлийн зардал</t>
  </si>
  <si>
    <t>Борлуулалтын үйл ажиллагааны зардал-Бичиг хэргийн зардал</t>
  </si>
  <si>
    <t>Борлуулалтын ү/а-ны зардал-ДотоодБусдаар гүйцэтгүүлсэн ажил үйлчилгээний за</t>
  </si>
  <si>
    <t>Борлуулалтын үйл ажиллагааны зардал-Усны зардал</t>
  </si>
  <si>
    <t>Борлуулалтын үйл ажиллагааны зардал-Дулааны зардал</t>
  </si>
  <si>
    <t>Борлуулалтын үйл ажиллагааны зардал-Цахилгааны зардал</t>
  </si>
  <si>
    <t>Борлуулалтын үйл ажиллагааны зардал-Гадаад цалин</t>
  </si>
  <si>
    <t>Борлуулалтын ү/а-ны зардал-Гадаад борлуулалт Нийгмийн даатгалын шимт</t>
  </si>
  <si>
    <t>Борлуулалтын ү/а-ны зардал-Гадаад борлуулалт Тээврийн зардал</t>
  </si>
  <si>
    <t>Борлуулалтын ү/а-ны зардал-Гадаад борлуулалт Түүхий эд материалын за</t>
  </si>
  <si>
    <t>Борлуулалтын ү/а-ны зардал-Гадаад борлуулалтБусдаар гүйцэтгүүлсэн а</t>
  </si>
  <si>
    <t>Цалин хөлс, шагнал</t>
  </si>
  <si>
    <t>Нийгмийн даатгалын зардал</t>
  </si>
  <si>
    <t>Засвар үйлчилгээний зардал</t>
  </si>
  <si>
    <t>Албан томилолтын зардал-Гадаад</t>
  </si>
  <si>
    <t>Элэгдлийн  зардал</t>
  </si>
  <si>
    <t>Шуудан холбооны зардал-Телефон яриа</t>
  </si>
  <si>
    <t>Шуудан холбооны зардал-Интернэт</t>
  </si>
  <si>
    <t>Шуудан холбооны зардал-Гар утас</t>
  </si>
  <si>
    <t>Зээлийн хүүгийн зардал</t>
  </si>
  <si>
    <t>Удирдлагын зардал</t>
  </si>
  <si>
    <t>Хувьцаа эзэмшигчдийн хурлын зардал</t>
  </si>
  <si>
    <t>Шагнал урамшуулал</t>
  </si>
  <si>
    <t>Хөдөлмөр хамгаалалын зардал</t>
  </si>
  <si>
    <t>Аж ахуйн материалын зардал</t>
  </si>
  <si>
    <t>Усны зардал</t>
  </si>
  <si>
    <t>Дулааны зардал</t>
  </si>
  <si>
    <t>Цахилгааны зардал</t>
  </si>
  <si>
    <t>АТӨЯХАТ</t>
  </si>
  <si>
    <t>Төсөвт төлсөн газар, байгалийн нөөц ашигласны татвар</t>
  </si>
  <si>
    <t>Төсөвт төлсөн үл хөдлөх хөрөнгийн албан татвар</t>
  </si>
  <si>
    <t>Түрээсийн зардал-Smart</t>
  </si>
  <si>
    <t>Түрээсийн зардал-Өргөө НБД</t>
  </si>
  <si>
    <t>Түрээсийн зардал-Дархан</t>
  </si>
  <si>
    <t>Түрээсийн зардал-Gobi Mongolian Cashmere НБД</t>
  </si>
  <si>
    <t>Шуудан холбооны зардал-Органик кашемир НБД</t>
  </si>
  <si>
    <t>Шуудан холбооны зардал-Төв шуудан НБД</t>
  </si>
  <si>
    <t>Шуудан холбооны зардал-Дархан НБД</t>
  </si>
  <si>
    <t>Шуудан холбооны зардал-Gobi Mongolian Cashmere НБД</t>
  </si>
  <si>
    <t>Зар сурталчилгааны зардал-Дотоод</t>
  </si>
  <si>
    <t>Зар сурталчилгааны зардал-Гадаад</t>
  </si>
  <si>
    <t>Тайлагналын дараа компанийн үйл ажиллагаа хэвийн явагдаж байна.</t>
  </si>
  <si>
    <t>Ерөнхий данс</t>
  </si>
  <si>
    <t>Говь ХК</t>
  </si>
  <si>
    <t>Санхүү, эдийн засгийн сайдын 2002 оны 191 тоот тушаалаар батлав.</t>
  </si>
  <si>
    <t>Тайлант үе:</t>
  </si>
  <si>
    <t>2014/01/01 - 2014/12/31</t>
  </si>
  <si>
    <t>No</t>
  </si>
  <si>
    <t>Харьцсан данс</t>
  </si>
  <si>
    <t>Гүйлгээний дүн</t>
  </si>
  <si>
    <t>Дансны дугаар</t>
  </si>
  <si>
    <t>Дансны нэр</t>
  </si>
  <si>
    <t>Дебет</t>
  </si>
  <si>
    <t>Кредит</t>
  </si>
  <si>
    <t>9201-000-00-000-000</t>
  </si>
  <si>
    <t>Орлого зарлагын нэгдсэн данс</t>
  </si>
  <si>
    <t>8803-000-00-000-000</t>
  </si>
  <si>
    <t>Валютын ханшийн зөрүүний бодит ашиг</t>
  </si>
  <si>
    <t>8703-000-00-030-000</t>
  </si>
  <si>
    <t>Валютын ханшийн зөрүүний бодит алдагдал</t>
  </si>
  <si>
    <t>8505-000-00-000-000</t>
  </si>
  <si>
    <t>Ханшийн тэгштгэлийн ашиг</t>
  </si>
  <si>
    <t>8405-000-00-030-000</t>
  </si>
  <si>
    <t>Ханшны тэгштгэлийн алдагдал</t>
  </si>
  <si>
    <t>6101-000-00-000-999</t>
  </si>
  <si>
    <t>Өртийн зөрүү данс</t>
  </si>
  <si>
    <t>5100-130-04-000-000</t>
  </si>
  <si>
    <t>Гадаад борлуулалт-Бусад</t>
  </si>
  <si>
    <t>5100-130-03-000-000</t>
  </si>
  <si>
    <t>Гадаад борлуулалт-Оёмол</t>
  </si>
  <si>
    <t>5100-130-02-000-000</t>
  </si>
  <si>
    <t>Гадаад борлуулалт-Нэхмэл</t>
  </si>
  <si>
    <t>5100-130-01-000-000</t>
  </si>
  <si>
    <t>Гадаад борлуулалт-Сүлжмэл</t>
  </si>
  <si>
    <t>3302-000-00-000-005</t>
  </si>
  <si>
    <t>Урт хугацаат бараа материалын өглөг</t>
  </si>
  <si>
    <t>3302-000-00-000-001</t>
  </si>
  <si>
    <t>Урт хугацаат зээл-Доллар</t>
  </si>
  <si>
    <t>3120-000-00-000-010</t>
  </si>
  <si>
    <t>Бараа материалын өглөг- EUR</t>
  </si>
  <si>
    <t>3120-000-00-000-007</t>
  </si>
  <si>
    <t>Урьдчилж орсон орлого-Доллар</t>
  </si>
  <si>
    <t>3120-000-00-000-005</t>
  </si>
  <si>
    <t>Бараа материалын өглөг-Юань</t>
  </si>
  <si>
    <t>3120-000-00-000-004</t>
  </si>
  <si>
    <t>Бараа материалын өглөг-Иен</t>
  </si>
  <si>
    <t>3120-000-00-000-003</t>
  </si>
  <si>
    <t>Бараа материалын өглөг-Доллар</t>
  </si>
  <si>
    <t>3115-000-00-000-001</t>
  </si>
  <si>
    <t>НӨАТ-ын өглөг</t>
  </si>
  <si>
    <t>3112-000-00-000-002</t>
  </si>
  <si>
    <t>Зээлийн хүүгийн өглөг-Доллар</t>
  </si>
  <si>
    <t>3110-000-00-000-002</t>
  </si>
  <si>
    <t>Бараа материалын өглөг</t>
  </si>
  <si>
    <t>3110-000-00-000-001</t>
  </si>
  <si>
    <t>Компани хоорондын өглөг</t>
  </si>
  <si>
    <t>3108-000-00-000-002</t>
  </si>
  <si>
    <t>Банкны богино хугацаат зээл-Доллар</t>
  </si>
  <si>
    <t>3104-000-00-000-001</t>
  </si>
  <si>
    <t>1801-000-00-000-001</t>
  </si>
  <si>
    <t>Урьдчилж төлсөн тооцоо</t>
  </si>
  <si>
    <t>1606-000-00-000-001</t>
  </si>
  <si>
    <t>Сав багалаа боодол</t>
  </si>
  <si>
    <t>1605-000-00-000-001</t>
  </si>
  <si>
    <t>Хангамжийн материал /агуулах/</t>
  </si>
  <si>
    <t>1602-000-00-000-002</t>
  </si>
  <si>
    <t>Сэлбэг хэрэгсэл-Цахилгаан</t>
  </si>
  <si>
    <t>1602-000-00-000-001</t>
  </si>
  <si>
    <t>Сэлбэг хэрэгсэл-Үйлдвэрлэл</t>
  </si>
  <si>
    <t>1401-000-00-000-006</t>
  </si>
  <si>
    <t>Химийн материал</t>
  </si>
  <si>
    <t>1401-000-00-000-005</t>
  </si>
  <si>
    <t>Туслах материал</t>
  </si>
  <si>
    <t>1220-000-00-000-013</t>
  </si>
  <si>
    <t>Зээлийн хүүгийн авлага /Доллар/</t>
  </si>
  <si>
    <t>1220-000-00-000-012</t>
  </si>
  <si>
    <t>Бараа материалын авлага-Юань</t>
  </si>
  <si>
    <t>1220-000-00-000-010</t>
  </si>
  <si>
    <t>Бараа материалын авлага-Евро</t>
  </si>
  <si>
    <t>1220-000-00-000-009</t>
  </si>
  <si>
    <t>Бараа материалын авлага-Иен</t>
  </si>
  <si>
    <t>1220-000-00-000-008</t>
  </si>
  <si>
    <t>Бараа материалын авлага-Доллар</t>
  </si>
  <si>
    <t>1220-000-00-000-007</t>
  </si>
  <si>
    <t>Компани хоорондын авлага-Доллар</t>
  </si>
  <si>
    <t>1220-000-00-000-002</t>
  </si>
  <si>
    <t>Гадаад борлуулалтын авлага-Евро</t>
  </si>
  <si>
    <t>1220-000-00-000-001</t>
  </si>
  <si>
    <t>Гадаад борлуулалтын авлага-доллар</t>
  </si>
  <si>
    <t>1208-000-00-000-009</t>
  </si>
  <si>
    <t>Дараа тайлангаарх авлага-Юань</t>
  </si>
  <si>
    <t>1208-000-00-000-008</t>
  </si>
  <si>
    <t>Дараа тайлангаарх-Евро</t>
  </si>
  <si>
    <t>1208-000-00-000-003</t>
  </si>
  <si>
    <t>Дараа тайлангаарх авлага-Иен</t>
  </si>
  <si>
    <t>1208-000-00-000-002</t>
  </si>
  <si>
    <t>Дараа тайлангаарх авлага-доллар</t>
  </si>
  <si>
    <t>1208-000-00-000-001</t>
  </si>
  <si>
    <t>Дараа тайлангаарх авлага</t>
  </si>
  <si>
    <t>1207-000-00-000-003</t>
  </si>
  <si>
    <t>ХО-ын авлага</t>
  </si>
  <si>
    <t>1207-000-00-000-002</t>
  </si>
  <si>
    <t>Бараа материалын авлага</t>
  </si>
  <si>
    <t>1207-000-00-000-001</t>
  </si>
  <si>
    <t>Компани хоорондын авлага</t>
  </si>
  <si>
    <t>1201-000-00-000-004</t>
  </si>
  <si>
    <t>1201-000-00-000-003</t>
  </si>
  <si>
    <t>Гадаад борлуулалтын авлага-төгрөг</t>
  </si>
  <si>
    <t>1201-000-00-000-002</t>
  </si>
  <si>
    <t>Гэрээт борлуулагчдаас авах авлага</t>
  </si>
  <si>
    <t>1201-000-00-000-001</t>
  </si>
  <si>
    <t>Дотоод борлуулалтын авлага</t>
  </si>
  <si>
    <t>1111-000-00-000-002</t>
  </si>
  <si>
    <t>Арилжаа Клиринг (usd)</t>
  </si>
  <si>
    <t>1102-000-00-000-008</t>
  </si>
  <si>
    <t>Худалдаа Хөгжлийн Банк (USD)</t>
  </si>
  <si>
    <t>1102-000-00-000-006</t>
  </si>
  <si>
    <t>ХХБанкинд байгаа бэлэн мөнгө (EUR)</t>
  </si>
  <si>
    <t>1102-000-00-000-005</t>
  </si>
  <si>
    <t>ХХБанк дахь amex (USD)</t>
  </si>
  <si>
    <t>1102-000-00-000-003</t>
  </si>
  <si>
    <t>ХААН банкинд байгаа бэлэн мөнгө (USD)</t>
  </si>
  <si>
    <t>1102-000-00-000-002</t>
  </si>
  <si>
    <t>Голомт банкинд байгаа бэлэн мөнгө (USD)</t>
  </si>
  <si>
    <t>1102-000-00-000-001</t>
  </si>
  <si>
    <t>ХХБанкинд байгаа валют /USD/</t>
  </si>
  <si>
    <t>1101-000-00-000-009</t>
  </si>
  <si>
    <t>Худалдаа Хөгжлийн Банк (төгрөг)</t>
  </si>
  <si>
    <t>1101-000-00-000-003</t>
  </si>
  <si>
    <t>ХААН банкинд байгаа бэлэн мөнгө (төгрөг)</t>
  </si>
  <si>
    <t>1101-000-00-000-001</t>
  </si>
  <si>
    <t>ХХБанкинд байгаа бэлэн мөнгө (төгрөг)</t>
  </si>
  <si>
    <t>1002-000-00-000-006</t>
  </si>
  <si>
    <t>Кассанд байгаа бэлэн мөнгө-Рубль</t>
  </si>
  <si>
    <t>1002-000-00-000-005</t>
  </si>
  <si>
    <t>Кассанд байгаа бэлэн мөнгө (WON)</t>
  </si>
  <si>
    <t>1002-000-00-000-004</t>
  </si>
  <si>
    <t>Кассанд байгаа бэлэн мөнгө (CNY)</t>
  </si>
  <si>
    <t>1002-000-00-000-003</t>
  </si>
  <si>
    <t>Кассанд байгаа бэлэн мөнгө (JPY)</t>
  </si>
  <si>
    <t>1002-000-00-000-002</t>
  </si>
  <si>
    <t>Кассанд байгаа бэлэн мөнгө (EUR)</t>
  </si>
  <si>
    <t>1002-000-00-000-001</t>
  </si>
  <si>
    <t>Кассанд байгаа бэлэн валют /USD/</t>
  </si>
  <si>
    <t>1001-000-00-000-001</t>
  </si>
  <si>
    <t>Кассанд байгаа бэлэн мөнгө (төгрөг)</t>
  </si>
  <si>
    <t>Хөтөлсөн нягтлан бодогч</t>
  </si>
  <si>
    <t xml:space="preserve"> ................................................. /                                  /</t>
  </si>
  <si>
    <t>Хянасан ерөнхий (ахлах) нягтлан бодогч</t>
  </si>
  <si>
    <t xml:space="preserve">Хэвлэсэн:  </t>
  </si>
  <si>
    <t>Хуудас:</t>
  </si>
  <si>
    <t>1/1</t>
  </si>
  <si>
    <t>мөнгөн хөрөнгө</t>
  </si>
  <si>
    <t>бм</t>
  </si>
  <si>
    <t>арилжаа</t>
  </si>
  <si>
    <t>1</t>
  </si>
  <si>
    <t>1.2</t>
  </si>
  <si>
    <t>1.3</t>
  </si>
  <si>
    <t>2</t>
  </si>
  <si>
    <t>2.1</t>
  </si>
  <si>
    <t>2.1.2</t>
  </si>
  <si>
    <t>2.2</t>
  </si>
  <si>
    <t>2.3</t>
  </si>
  <si>
    <t>2.4</t>
  </si>
  <si>
    <t>ГҮЙЦЭТГЭХ ЗАХИРАЛ</t>
  </si>
  <si>
    <t>/Ц.БААТАРСАЙХАН/</t>
  </si>
  <si>
    <t>СБУГ ЗАХИРАЛ</t>
  </si>
  <si>
    <t>/Г.СЭЛЭНГЭ/</t>
  </si>
  <si>
    <t>Хэвлэсэн:</t>
  </si>
  <si>
    <t>3</t>
  </si>
  <si>
    <t>4</t>
  </si>
  <si>
    <t>5</t>
  </si>
  <si>
    <t>6</t>
  </si>
  <si>
    <t>7</t>
  </si>
  <si>
    <t>24</t>
  </si>
  <si>
    <t>3.1</t>
  </si>
  <si>
    <t>3.2</t>
  </si>
  <si>
    <t>Өмчийн өөрчлөлтийн тайлан</t>
  </si>
  <si>
    <t>Залруулсан үлдэгдэл</t>
  </si>
  <si>
    <t>Өмчид гаргасан өөрчлөлт</t>
  </si>
  <si>
    <t>Тайлант үеийн цэвэр ашиг ( алдагдал )</t>
  </si>
  <si>
    <t>......................................................</t>
  </si>
  <si>
    <t>Эргэлтийн бус хөрөнгийн дүн</t>
  </si>
  <si>
    <t>НИЙТ ХӨРӨНГИЙН ДҮН</t>
  </si>
  <si>
    <r>
      <rPr>
        <b/>
        <sz val="10"/>
        <rFont val="Times New Roman Mon"/>
        <family val="1"/>
      </rPr>
      <t>САНХҮҮГИЙН БАЙДЛЫН ТАЙЛАН</t>
    </r>
  </si>
  <si>
    <r>
      <rPr>
        <b/>
        <sz val="10"/>
        <rFont val="Times New Roman Mon"/>
        <family val="1"/>
      </rPr>
      <t>1</t>
    </r>
  </si>
  <si>
    <r>
      <rPr>
        <b/>
        <sz val="10"/>
        <rFont val="Times New Roman Mon"/>
        <family val="1"/>
      </rPr>
      <t>ХӨРӨНГӨ</t>
    </r>
  </si>
  <si>
    <r>
      <t>Татвар,</t>
    </r>
    <r>
      <rPr>
        <b/>
        <sz val="10"/>
        <rFont val="Times New Roman Mon"/>
        <family val="1"/>
      </rPr>
      <t xml:space="preserve"> НДШ -</t>
    </r>
    <r>
      <rPr>
        <sz val="10"/>
        <rFont val="Times New Roman Mon"/>
        <family val="1"/>
      </rPr>
      <t xml:space="preserve"> ийн авлага</t>
    </r>
  </si>
  <si>
    <r>
      <rPr>
        <b/>
        <sz val="10"/>
        <rFont val="Times New Roman Mon"/>
        <family val="1"/>
      </rPr>
      <t>2.1</t>
    </r>
  </si>
  <si>
    <r>
      <rPr>
        <b/>
        <sz val="10"/>
        <rFont val="Times New Roman Mon"/>
        <family val="1"/>
      </rPr>
      <t>Өр төлбөр</t>
    </r>
  </si>
  <si>
    <r>
      <rPr>
        <b/>
        <sz val="10"/>
        <rFont val="Times New Roman Mon"/>
        <family val="1"/>
      </rPr>
      <t>2.1.1</t>
    </r>
  </si>
  <si>
    <r>
      <rPr>
        <b/>
        <sz val="10"/>
        <rFont val="Times New Roman Mon"/>
        <family val="1"/>
      </rPr>
      <t>Богино хугацаат өр төлбөр</t>
    </r>
  </si>
  <si>
    <r>
      <t>НДШ</t>
    </r>
    <r>
      <rPr>
        <b/>
        <sz val="10"/>
        <rFont val="Times New Roman Mon"/>
        <family val="1"/>
      </rPr>
      <t xml:space="preserve"> -</t>
    </r>
    <r>
      <rPr>
        <sz val="10"/>
        <rFont val="Times New Roman Mon"/>
        <family val="1"/>
      </rPr>
      <t xml:space="preserve"> ийн өглөг</t>
    </r>
  </si>
  <si>
    <r>
      <rPr>
        <b/>
        <sz val="10"/>
        <rFont val="Times New Roman Mon"/>
        <family val="1"/>
      </rPr>
      <t>ОРЛОГЫН ДЭЛГЭРЭНГҮЙ ТАЙЛАН</t>
    </r>
  </si>
  <si>
    <r>
      <rPr>
        <b/>
        <sz val="10"/>
        <rFont val="Times New Roman Mon"/>
        <family val="1"/>
      </rPr>
      <t>Зогсоосон үйл ажиллагааны татварын дараах ашиг (алдагдал)</t>
    </r>
  </si>
  <si>
    <r>
      <rPr>
        <b/>
        <sz val="10"/>
        <rFont val="Times New Roman Mon"/>
        <family val="1"/>
      </rPr>
      <t>25</t>
    </r>
  </si>
  <si>
    <r>
      <rPr>
        <b/>
        <sz val="10"/>
        <rFont val="Times New Roman Mon"/>
        <family val="1"/>
      </rPr>
      <t>Нэгж хувьцаанд ногдох суурь ашиг (алдагдал)</t>
    </r>
  </si>
  <si>
    <t>"ГОВЬ" ХК-ийн</t>
  </si>
  <si>
    <t>Борлуулалтын орлого (цэвэр)</t>
  </si>
  <si>
    <t>Нийт ашиг (алдагдал)</t>
  </si>
  <si>
    <t>Татвар төлөхийн өмнөх ашиг ( алдагдал)</t>
  </si>
  <si>
    <t>Татварын дараах ашиг (алдагдал)</t>
  </si>
  <si>
    <t>Тайлант үеийн цэвэр ашиг ( алдагдал)</t>
  </si>
  <si>
    <t>Орлогын нийт дүн</t>
  </si>
  <si>
    <t>1.1.11</t>
  </si>
  <si>
    <t>Эргэлтийн хөрөнгийн дүн</t>
  </si>
  <si>
    <t>1.2.10</t>
  </si>
  <si>
    <t>ӨР ТӨЛБӨР БА ЭЗДИЙН ӨМЧ</t>
  </si>
  <si>
    <t>2.1.1.13</t>
  </si>
  <si>
    <t>Богино хугацаат өр төлбөрийн дүн</t>
  </si>
  <si>
    <t>Урт хугацаат өр төлбөрийн дүн</t>
  </si>
  <si>
    <t>Өр төлбөрийн нийт дүн</t>
  </si>
  <si>
    <t>Эздийн өмч</t>
  </si>
  <si>
    <t>2.3.11</t>
  </si>
  <si>
    <t>Эздийн өмчийн дүн</t>
  </si>
  <si>
    <t>ӨР ТӨЛБӨР БА ЭЗДИЙН ӨМЧИЙН ДҮН</t>
  </si>
  <si>
    <r>
      <rPr>
        <b/>
        <sz val="10"/>
        <rFont val="Times New Roman Mon"/>
        <family val="1"/>
      </rPr>
      <t>МӨНГӨН ГҮЙЛГЭЭНИЙ ТАЙЛАН</t>
    </r>
  </si>
  <si>
    <r>
      <rPr>
        <b/>
        <sz val="10"/>
        <rFont val="Times New Roman Mon"/>
        <family val="1"/>
      </rPr>
      <t>Мөнгө, түүнтэй адилтгах хөрөнгийн эцсийн үлдэгдэл</t>
    </r>
  </si>
  <si>
    <t>Үндсэн үйл ажиллагааны мөнгөн гүйлгээ</t>
  </si>
  <si>
    <t>Хөрөнгө оруулалтын үйл ажиллагааны мөнгөн гүйлгээ</t>
  </si>
  <si>
    <r>
      <rPr>
        <b/>
        <sz val="10"/>
        <rFont val="Times New Roman Mon"/>
        <family val="1"/>
      </rPr>
      <t>ӨМЧИЙН ӨӨРЧЛӨЛТИЙН ТАЙЛАН</t>
    </r>
  </si>
  <si>
    <t>Өмнөх оны тайлан</t>
  </si>
  <si>
    <t>2015 оны 12-р сарын 31-ээрх үлдэгдэл</t>
  </si>
  <si>
    <t>Хойшлогдсон татварын тооцоо</t>
  </si>
  <si>
    <t>Борлуулалтын үйл ажиллагааны зардал-Хөд хамгаалал,хоол</t>
  </si>
  <si>
    <t>Гуанзны орлого</t>
  </si>
  <si>
    <t>Үйл ажиллагааны бус бусад орлого</t>
  </si>
  <si>
    <t>Хүү торгууль хөнгөлөлтийн зардал</t>
  </si>
  <si>
    <t>өглөг</t>
  </si>
  <si>
    <t>авлага</t>
  </si>
  <si>
    <t>3201-000-00-000-001</t>
  </si>
  <si>
    <t>3120-000-00-000-011</t>
  </si>
  <si>
    <t>Компани хоорондын санхүүжилтийн өглөг-Доллар</t>
  </si>
  <si>
    <t>1401-000-00-000-009</t>
  </si>
  <si>
    <t>Бичиг хэргийн материал</t>
  </si>
  <si>
    <t>1220-000-00-000-015</t>
  </si>
  <si>
    <t>Компани хоорондын санхүүжилтийн авлага-Доллар</t>
  </si>
  <si>
    <t>1102-000-00-000-010</t>
  </si>
  <si>
    <t>Хаан банкинд байгаа бэлэн мөнгө (ИЕН)</t>
  </si>
  <si>
    <t>1102-000-00-000-009</t>
  </si>
  <si>
    <t>Хаан банкинд байгаа бэлэн мөнгө (ЮАНЬ)</t>
  </si>
  <si>
    <t>1101-000-00-000-002</t>
  </si>
  <si>
    <t>Голомт банкинд байгаа бэлэн мөнгө (төгрөг)</t>
  </si>
  <si>
    <t>А</t>
  </si>
  <si>
    <t>2015 онд 2014 оны ашгаас нэгж хувьцаанд 140 төгрөгийн ногдол ашиг нийт 1 092 157 500 төгрөг тараасан.</t>
  </si>
  <si>
    <t>Гаднын байгууллагаас шууд авсан зээл EBRD-c 1.250  сая доллар</t>
  </si>
  <si>
    <t xml:space="preserve">Монгол улсын Нягтлан бодох бүртгэлийн тухай, Татарын тухай хуулиудад нийцүүлэн гаргасан заавар, дүрэм, Нягтлан бодох бүртгэлийн Олон Улсын Стандартад нийцүүлэн тайлагнасан болно. </t>
  </si>
  <si>
    <t>Борлуулах зорилгоор эзэмшиж буй  хөрөнгө болон өр төлбөр байхгүй</t>
  </si>
  <si>
    <t xml:space="preserve">Бараа материалын өртөгийг тооцоолохдоо Дундаж өртөгийн арга ашигласан. Бараа материалын бүртгэл нь үнэ цэнийн бууралт тооцсон болон буцаах бичилт хийгдсэн. </t>
  </si>
  <si>
    <t>Харилцахад байгаа 17.4  тэрбум төгрөгийн 16.5 тэрбум нь хадгаламж хэлбэрээр байгаа болно.</t>
  </si>
  <si>
    <t>2015.12.31</t>
  </si>
  <si>
    <t>Капиталжуулсан</t>
  </si>
  <si>
    <t>Дотоод хөдөлгөөний элэгдэл</t>
  </si>
  <si>
    <t xml:space="preserve">Дахин үнэлгээний </t>
  </si>
  <si>
    <t>Бусад хөрөнгө</t>
  </si>
  <si>
    <t>Дахин үнэлгээний нэмэгдэл /Капиталжуулах/</t>
  </si>
  <si>
    <t>Үнэгүй шилжүүлсэн /Хасагдсан элэгдэл/</t>
  </si>
  <si>
    <t>анхны өртөг</t>
  </si>
  <si>
    <t>байгуулсан элэгдэл 2013 он хүртэл</t>
  </si>
  <si>
    <t>2013.12.31</t>
  </si>
  <si>
    <t>нэмэгдсэн</t>
  </si>
  <si>
    <t>байгуулсан элэгдэл 2014 он</t>
  </si>
  <si>
    <t>үлдэгдэл</t>
  </si>
  <si>
    <t xml:space="preserve">газар </t>
  </si>
  <si>
    <t xml:space="preserve">     300,000,000.00 </t>
  </si>
  <si>
    <t xml:space="preserve"> программ </t>
  </si>
  <si>
    <t xml:space="preserve">       87,796,520.00 </t>
  </si>
  <si>
    <t xml:space="preserve">   52,723,535.00 </t>
  </si>
  <si>
    <t xml:space="preserve">       35,072,985.00 </t>
  </si>
  <si>
    <t xml:space="preserve">     3,519,000.00 </t>
  </si>
  <si>
    <t xml:space="preserve">       20,548,282.69 </t>
  </si>
  <si>
    <t xml:space="preserve">       18,043,702.31 </t>
  </si>
  <si>
    <t xml:space="preserve"> нийт </t>
  </si>
  <si>
    <t xml:space="preserve">     387,796,520.00 </t>
  </si>
  <si>
    <t xml:space="preserve">     335,072,985.00 </t>
  </si>
  <si>
    <t xml:space="preserve">     318,043,702.31 </t>
  </si>
  <si>
    <t>байгуулсан элэгдэл 2015 он</t>
  </si>
  <si>
    <t>хуримтлагдсан эл</t>
  </si>
  <si>
    <t>нэмэгдсэн 2015 он</t>
  </si>
  <si>
    <t>элэгдэл 2015 он</t>
  </si>
  <si>
    <t>үлдэгдэл өртөг 2015 он</t>
  </si>
  <si>
    <t>Salaries and related costs</t>
  </si>
  <si>
    <t>Marketing expenses</t>
  </si>
  <si>
    <t>Supplies and consumables</t>
  </si>
  <si>
    <t>Bank charges</t>
  </si>
  <si>
    <t>Consulting fees</t>
  </si>
  <si>
    <t>Depreciation expense</t>
  </si>
  <si>
    <t>Rental expense</t>
  </si>
  <si>
    <t>Business trip</t>
  </si>
  <si>
    <t>Repair and maintenance</t>
  </si>
  <si>
    <t>Utility expense</t>
  </si>
  <si>
    <t>Security expense</t>
  </si>
  <si>
    <t>Labor safety expense</t>
  </si>
  <si>
    <t xml:space="preserve">Fuel </t>
  </si>
  <si>
    <t>Transportation expense</t>
  </si>
  <si>
    <t xml:space="preserve">Communication </t>
  </si>
  <si>
    <t>Insurance expense</t>
  </si>
  <si>
    <t>Allowance (reversal) for doubtful debts</t>
  </si>
  <si>
    <t>Allowance (reversal) for inventory obsolescence</t>
  </si>
  <si>
    <t>Other expense</t>
  </si>
  <si>
    <t>2016 оны 12-р сарын 31-ээрх үлдэгдэл</t>
  </si>
  <si>
    <t>ҮНЗ</t>
  </si>
  <si>
    <t>2016.12.31</t>
  </si>
  <si>
    <t>Компьютер</t>
  </si>
  <si>
    <t>Барааны тэмдэгт</t>
  </si>
  <si>
    <t>зээл</t>
  </si>
  <si>
    <t xml:space="preserve"> Программ хангамж</t>
  </si>
  <si>
    <t>2017/01/01 - 2017/12/31</t>
  </si>
  <si>
    <t>2017 оны 12-р сарын 31-ээрх үлдэгдэл</t>
  </si>
  <si>
    <t>Таван богд менежмент ХХК</t>
  </si>
  <si>
    <t>Харилцан хамааралтай этгээдийн нэр</t>
  </si>
  <si>
    <t>Харилцан хамааралтай этгээдийн ТТД</t>
  </si>
  <si>
    <t>Зээлийн төрөл</t>
  </si>
  <si>
    <t>Хүлээн авсан зээлийн дүн /төгрөг/</t>
  </si>
  <si>
    <t>Хүлээн авсанаас төлсөн</t>
  </si>
  <si>
    <t>Зөрүү</t>
  </si>
  <si>
    <t>Хүү зардал</t>
  </si>
  <si>
    <t>Олгосон зээлийн дүн/төгрөг/</t>
  </si>
  <si>
    <t>Олгогдсоноос төлөгдсөн</t>
  </si>
  <si>
    <t>Хүү орлого</t>
  </si>
  <si>
    <t xml:space="preserve">ХХМ-01 дээр тайлагнах дүн                    </t>
  </si>
  <si>
    <t>хүлээн авсан зээл (+)                                                     олгосон зээл (-)</t>
  </si>
  <si>
    <t>хүүгийн зардал (+)                                                     хүүгийн орлого (-)</t>
  </si>
  <si>
    <t>бэлэн мөнгөөр</t>
  </si>
  <si>
    <t>2017/01/31 - 2017/12/31</t>
  </si>
  <si>
    <t>5103-130-00-000-000</t>
  </si>
  <si>
    <t>Борлуулалтын хөнгөлөлт-Гадаад</t>
  </si>
  <si>
    <t>3120-000-00-000-002</t>
  </si>
  <si>
    <t>Компани хоорондын өглөг-Доллар</t>
  </si>
  <si>
    <t>3112-000-00-000-003</t>
  </si>
  <si>
    <t>Зээлийн хүүгийн өглөг -Euro</t>
  </si>
  <si>
    <t>3108-000-00-000-004</t>
  </si>
  <si>
    <t>Банкны богино хугацаат зээл-Евро</t>
  </si>
  <si>
    <t>3101-000-00-000-002</t>
  </si>
  <si>
    <t>1405-000-00-000-003</t>
  </si>
  <si>
    <t>Утасны агуулах-Говь1 /бөөн дүн/</t>
  </si>
  <si>
    <t>1220-000-00-000-018</t>
  </si>
  <si>
    <t>Охин компаниас авах авлага ( CNY )</t>
  </si>
  <si>
    <t>1220-000-00-000-017</t>
  </si>
  <si>
    <t>Охин компаниас авах авлага (EURO)</t>
  </si>
  <si>
    <t>1220-000-00-000-004</t>
  </si>
  <si>
    <t>Гадаад борлуулалтын авлага-Юань</t>
  </si>
  <si>
    <t>1220-000-00-000-003</t>
  </si>
  <si>
    <t>Гадаад борлуулалтын авлага-Иен</t>
  </si>
  <si>
    <t>1209-000-00-000-000</t>
  </si>
  <si>
    <t>1207-000-00-000-004</t>
  </si>
  <si>
    <t>Зээлийн хүүгийн авлага /MNT/</t>
  </si>
  <si>
    <t>1102-000-00-000-012</t>
  </si>
  <si>
    <t>Хас банк (USD)</t>
  </si>
  <si>
    <t>1102-000-00-000-011</t>
  </si>
  <si>
    <t>Голомт банкинд байгаа бэлэн мөнгө (EUR)</t>
  </si>
  <si>
    <t>1101-000-00-000-010</t>
  </si>
  <si>
    <t>ХАС банкны харилцахад  байгаа бэлэн мөнгө (төгрөг)</t>
  </si>
  <si>
    <t>1101-000-00-000-008</t>
  </si>
  <si>
    <t>Голомт банкинд байгаа хадгаламж мөнгө (төгрөг)</t>
  </si>
  <si>
    <t>1101-000-00-000-007</t>
  </si>
  <si>
    <t>Хаан банкинд байгаа хадгаламж мөнгө (төгрөг)</t>
  </si>
  <si>
    <t>ашиг</t>
  </si>
  <si>
    <t>Хугацаа: 2017</t>
  </si>
  <si>
    <t>Õîîë óíààíû çàðäàë</t>
  </si>
  <si>
    <t>Реклам сурталчилгааны зардал /дотоод/</t>
  </si>
  <si>
    <t>Реклам сурталчилгааны зардал /гадаад//</t>
  </si>
  <si>
    <t>Òåíäåðèéí çàðäàë</t>
  </si>
  <si>
    <t>Хойшлогдсон татварын зардал</t>
  </si>
  <si>
    <t>bonus oroogui</t>
  </si>
  <si>
    <t>bonus orson</t>
  </si>
  <si>
    <t>tax</t>
  </si>
  <si>
    <t>ashig</t>
  </si>
  <si>
    <t>2017 03</t>
  </si>
  <si>
    <t>2017 07</t>
  </si>
  <si>
    <t>Борлуулалтын үйл ажиллагааны зардал-Тэтгэвэр тусламж зардал</t>
  </si>
  <si>
    <t xml:space="preserve">Санхүүжилтийн шимтгэл </t>
  </si>
  <si>
    <t>Дотоод зардал</t>
  </si>
  <si>
    <t>Хураамж,зөвшөөрөл</t>
  </si>
  <si>
    <t>Аудитын зардал</t>
  </si>
  <si>
    <t>Түрээсийн зардал-Их дэлгүүр</t>
  </si>
  <si>
    <t>Түрээсийн зардал-Нисэх</t>
  </si>
  <si>
    <t>Түрээсийн зардал-Шангрилла</t>
  </si>
  <si>
    <t>Үндсэн хөрөнгө данснаас хассан олз</t>
  </si>
  <si>
    <t>ҮАБ орлого НА төлөлт</t>
  </si>
  <si>
    <t>Үндсэн хөрөнгө борлуулсаны гарз</t>
  </si>
  <si>
    <t>Үйл ажиллагааны бус бусад зардал</t>
  </si>
  <si>
    <t>Спорт заалны зардал</t>
  </si>
  <si>
    <t>Рестораны бусад зардал</t>
  </si>
  <si>
    <t>Акталж устгасан хөрөнгө</t>
  </si>
  <si>
    <t>Акталж устгасан бараа</t>
  </si>
  <si>
    <t>Хандив тусламж</t>
  </si>
  <si>
    <t>Баяр ёслолын арга хэмжээний зардал</t>
  </si>
  <si>
    <t>ҮАБус зардал суутган тооцоо</t>
  </si>
  <si>
    <t>Спорт заалны зардал-Элэгдэлийн зардал</t>
  </si>
  <si>
    <t>Буцалтгүй тусламж</t>
  </si>
  <si>
    <t>Рестораны зардал-Усны зардал</t>
  </si>
  <si>
    <t>Рестораны зардал-Дулааны зардал</t>
  </si>
  <si>
    <t>Рестораны зардал-Цахилгааны зардал</t>
  </si>
  <si>
    <t>Спорт заалны зардал цахилгааны зардал</t>
  </si>
  <si>
    <t>Сувинерийн гэр Ашиглалтын зардал</t>
  </si>
  <si>
    <t>Гуанз зардал-Говь 1 Элэгдэлийн зардал</t>
  </si>
  <si>
    <t>Сувиллын зардал Хангамжийн материал</t>
  </si>
  <si>
    <t>Сувиллын зардал-Элэгдэлийн зардал</t>
  </si>
  <si>
    <t>Сувиллын зардал-Бичиг хэргийн зардал</t>
  </si>
  <si>
    <t>Даатгал</t>
  </si>
  <si>
    <t>үа бус</t>
  </si>
  <si>
    <t>зөрүү</t>
  </si>
  <si>
    <t>залруулга</t>
  </si>
  <si>
    <t xml:space="preserve">үндсэн хөрөнгө борлуулснаас гарз </t>
  </si>
  <si>
    <t>үндсэн хөрөнгө борлуулснаас олз</t>
  </si>
  <si>
    <t>Нийт</t>
  </si>
  <si>
    <t>Байгууллагын нэр: Говь</t>
  </si>
  <si>
    <t>Регистр: 2076357</t>
  </si>
  <si>
    <t/>
  </si>
  <si>
    <t>1. Мөнгө түүнтэй адилтгах хөрөнгө</t>
  </si>
  <si>
    <t>/Мянган төгрөг/</t>
  </si>
  <si>
    <t>Тэмдэглэл</t>
  </si>
  <si>
    <t>4.1. Дансны авлага</t>
  </si>
  <si>
    <t xml:space="preserve"> 2</t>
  </si>
  <si>
    <t>Хасагдсан</t>
  </si>
  <si>
    <t xml:space="preserve"> 3.1</t>
  </si>
  <si>
    <t>-Төлөгдсөн</t>
  </si>
  <si>
    <t xml:space="preserve"> 3.2</t>
  </si>
  <si>
    <t>-Найдваргүй болсон</t>
  </si>
  <si>
    <t>4.1. Татварын авлага</t>
  </si>
  <si>
    <t>4.1. Бусад богино хугацаат авлага</t>
  </si>
  <si>
    <t>Холбоотой талаас авах авлагын тайлант хугацаанд хамаарах дүн</t>
  </si>
  <si>
    <t>Ажиллагчдаас авах авлага</t>
  </si>
  <si>
    <t>Ноогдол ашгийн авлага</t>
  </si>
  <si>
    <t>Богино хугацаат авлагын бичиг</t>
  </si>
  <si>
    <t>Охин компани</t>
  </si>
  <si>
    <t>5. Бусад санхүүгийн хөрөнгө</t>
  </si>
  <si>
    <t xml:space="preserve"> 1</t>
  </si>
  <si>
    <t>6. Бараа материал</t>
  </si>
  <si>
    <t>Дансны цэвэр дүн</t>
  </si>
  <si>
    <t>7.1</t>
  </si>
  <si>
    <t>7.2</t>
  </si>
  <si>
    <t>8. Урьдчилж төлсөн зардал/тооцоо</t>
  </si>
  <si>
    <t xml:space="preserve">3	</t>
  </si>
  <si>
    <t>Бэлтгэн нийлүүлэгчдэд төлсөн урьдчилгаа төлбөр</t>
  </si>
  <si>
    <t>9. Үндсэн хөрөнгө</t>
  </si>
  <si>
    <t>Машин, тоног</t>
  </si>
  <si>
    <t>ҮНДСЭН ХӨРӨНГӨ /ӨРТӨГ/</t>
  </si>
  <si>
    <t xml:space="preserve"> 1.2.1</t>
  </si>
  <si>
    <t xml:space="preserve"> 1.2.2</t>
  </si>
  <si>
    <t xml:space="preserve"> 1.2.3</t>
  </si>
  <si>
    <t xml:space="preserve"> 1.2.4</t>
  </si>
  <si>
    <t xml:space="preserve"> 1.3.1</t>
  </si>
  <si>
    <t>Худалдсан (-)</t>
  </si>
  <si>
    <t xml:space="preserve"> 1.3.2</t>
  </si>
  <si>
    <t>Үнэгүй шилжүүлсэн (-)</t>
  </si>
  <si>
    <t xml:space="preserve"> 1.3.3</t>
  </si>
  <si>
    <t>Акталсан (-)</t>
  </si>
  <si>
    <t xml:space="preserve"> 1.3.4</t>
  </si>
  <si>
    <t>1.4</t>
  </si>
  <si>
    <t>Үндсэн хөрөнгө дахин ангилсан</t>
  </si>
  <si>
    <t>1.5</t>
  </si>
  <si>
    <t>Үндсэн хөрөнгө,  ХОЗҮХХ хооронд дахин ангилсан</t>
  </si>
  <si>
    <t>1.6</t>
  </si>
  <si>
    <t xml:space="preserve"> 2.2.1</t>
  </si>
  <si>
    <t>Байгуулсан элэгдэл</t>
  </si>
  <si>
    <t xml:space="preserve"> 2.2.2</t>
  </si>
  <si>
    <t xml:space="preserve"> 2.2.3</t>
  </si>
  <si>
    <t xml:space="preserve"> 2.3.1</t>
  </si>
  <si>
    <t>Данснаас хассан хөрөнгийн элэгдэл</t>
  </si>
  <si>
    <t xml:space="preserve"> 2.3.2</t>
  </si>
  <si>
    <t>Дахин үнэлгээгээр хасагдсан</t>
  </si>
  <si>
    <t xml:space="preserve"> 2.3.3</t>
  </si>
  <si>
    <t>11. Дуусаагүй барилга</t>
  </si>
  <si>
    <t>Эхэлсэн он</t>
  </si>
  <si>
    <t>Нийт төсөвт</t>
  </si>
  <si>
    <t>40</t>
  </si>
  <si>
    <t>0</t>
  </si>
  <si>
    <t>13. Биет бус хөрөнгө</t>
  </si>
  <si>
    <t>Компьютерийн программ хангамж</t>
  </si>
  <si>
    <t>БИЕТ БУС ХӨРӨНГӨ /ӨРТӨГ/</t>
  </si>
  <si>
    <t>ХУРИМТЛАГДСАН ХОРОГДОЛ</t>
  </si>
  <si>
    <t>Үнэ цэнийн бууралтын</t>
  </si>
  <si>
    <t>12. Биологийн хөрөнгө</t>
  </si>
  <si>
    <t>Нас</t>
  </si>
  <si>
    <t>13. Урт хугацаат хөрөнгө оруулалт</t>
  </si>
  <si>
    <t xml:space="preserve">Бусад </t>
  </si>
  <si>
    <t>485,216.3</t>
  </si>
  <si>
    <t>15. Бусад эргэлтийн бус хөрөнгө</t>
  </si>
  <si>
    <t>16.1. Дансны өглөг</t>
  </si>
  <si>
    <t xml:space="preserve"> 3</t>
  </si>
  <si>
    <t>16.2. Татварын өр</t>
  </si>
  <si>
    <t>ААНОАТ өр</t>
  </si>
  <si>
    <t>НӨАТ -ын өр</t>
  </si>
  <si>
    <t>ХХОАТ -ын өр</t>
  </si>
  <si>
    <t xml:space="preserve"> 4</t>
  </si>
  <si>
    <t>Онцгой АТ -н өр</t>
  </si>
  <si>
    <t xml:space="preserve"> 5</t>
  </si>
  <si>
    <t>Бусад татварын өр</t>
  </si>
  <si>
    <t xml:space="preserve"> 6</t>
  </si>
  <si>
    <t>16.3. Богино хугацаат зээл</t>
  </si>
  <si>
    <t>16.4. Богино хугацаат нөөц өр төлбөр</t>
  </si>
  <si>
    <t>Баталгаат засварын</t>
  </si>
  <si>
    <t>УОО</t>
  </si>
  <si>
    <t>16.5. Бусад богино хугацаат өр төлбөр</t>
  </si>
  <si>
    <t>16.6. Урт хугацаат зээл болон бусад урт хугацаат өр төлбөр</t>
  </si>
  <si>
    <t>Урт хугацаат зээлийн дүн</t>
  </si>
  <si>
    <t xml:space="preserve"> 1.1</t>
  </si>
  <si>
    <t xml:space="preserve"> 1.2</t>
  </si>
  <si>
    <t xml:space="preserve"> 1.3</t>
  </si>
  <si>
    <t>Бусад урт хугацаат өр төлбөрийн дүн</t>
  </si>
  <si>
    <t xml:space="preserve"> 2.1</t>
  </si>
  <si>
    <t>(Гадаад, дотоодын зах зээлд гаргасан бонд, өрийн бичиг)</t>
  </si>
  <si>
    <t xml:space="preserve"> 2.2</t>
  </si>
  <si>
    <t>17.1. Өмч</t>
  </si>
  <si>
    <t>Тоо ширхэг</t>
  </si>
  <si>
    <t>Дүн (төгрөгөөр)</t>
  </si>
  <si>
    <t>(Төгрөгөөр)</t>
  </si>
  <si>
    <t>17.2. Хөрөнгийн дахин үнэлгээний нэмэгдэл</t>
  </si>
  <si>
    <t>Биет бус хөрөнгийн дахин үнэлгээний нэмэгдэл</t>
  </si>
  <si>
    <t>Дахин үнэлгээний нэмэгдлийн зөрүү</t>
  </si>
  <si>
    <t>Дахин үнэлсэн хөрөнгийн үнэ цэнийн бууралтын гарзын буцаалт</t>
  </si>
  <si>
    <t xml:space="preserve"> 3.3</t>
  </si>
  <si>
    <t>Дахин үнэлсэн хөрөнгийн үнэ цэнийн бууралтын гарз</t>
  </si>
  <si>
    <t>17.3. Гадаад валютын хөрвүүлэлтийн нөөц</t>
  </si>
  <si>
    <t>Бүртгэлийн валютыг толилуулгын валют руу хөрвүүлснээс үүссэн зөрүү</t>
  </si>
  <si>
    <t>17.4. Эздийн өмчийн бусад хэсэг</t>
  </si>
  <si>
    <t>18. Борлуулалтын орлого болон борлуулалтын өртөг</t>
  </si>
  <si>
    <t>Бараа, бүтээгдэхүүн борлуулсны орлого:</t>
  </si>
  <si>
    <t>Ажил, үйлчилгээ борлуулсны орлого:</t>
  </si>
  <si>
    <t>Борлуулалтын буцаалт, хөнгөлөлт, үнийн бууралт (-)</t>
  </si>
  <si>
    <t>Борлуулсан бүтээгдэхүүний өртөг:</t>
  </si>
  <si>
    <t xml:space="preserve"> 6.1</t>
  </si>
  <si>
    <t>Борлуулсан бараа, борлуулалтын өртөг</t>
  </si>
  <si>
    <t xml:space="preserve"> 6.2</t>
  </si>
  <si>
    <t xml:space="preserve"> 7.1</t>
  </si>
  <si>
    <t>Борлуулсан ажил, үйлчилгээний өртөг</t>
  </si>
  <si>
    <t xml:space="preserve"> 7.2</t>
  </si>
  <si>
    <t xml:space="preserve"> 8</t>
  </si>
  <si>
    <t>Нийт борлуулсан бүтээгдэхүүний өртөг</t>
  </si>
  <si>
    <t>19.1. Бусад орлого</t>
  </si>
  <si>
    <t>Хөрөнгө борлуулсаны орлого</t>
  </si>
  <si>
    <t>19.2. Гадаад валютын ханшийн зөрүүний олз, гарз</t>
  </si>
  <si>
    <t>Мөнгөн хөрөнгийн үлдэгдлийн</t>
  </si>
  <si>
    <t>Авлагын үлдэгдлийн</t>
  </si>
  <si>
    <t>Богино  хугацаат  болон  урт  хугацаат  өр   төлбөрийн үлдэгдлийн</t>
  </si>
  <si>
    <t>Бусад ханшийн зөрүүний ашиг, алдагдал</t>
  </si>
  <si>
    <t>19.3. Бусад ашиг / алдагдал</t>
  </si>
  <si>
    <t>Хөрөнгийн үнэ цэнийн бууралтын гарз</t>
  </si>
  <si>
    <t>ХОЗҮХХ28-ийн  бодит үнэ цэнийн өөрчлөлтийн олз, гарз</t>
  </si>
  <si>
    <t>ХОЗҮХХ данснаас хассаны олз, гарз</t>
  </si>
  <si>
    <t>Хөрөнгийн дахин үнэлгээний олз, гарз</t>
  </si>
  <si>
    <t>Хөрөнгийн үнэ цэнийн бууралтын гарз (гарзын буцаалт)</t>
  </si>
  <si>
    <t>20.1. Борлуулалт маркетингийн зардал</t>
  </si>
  <si>
    <t>Албан татвар, төлбөр, хураамжийн зардал</t>
  </si>
  <si>
    <t xml:space="preserve"> 7</t>
  </si>
  <si>
    <t>Сургалтын  зардал</t>
  </si>
  <si>
    <t xml:space="preserve"> 9</t>
  </si>
  <si>
    <t>Сонин сэтгүүл захиалгын  зардал</t>
  </si>
  <si>
    <t xml:space="preserve"> 10</t>
  </si>
  <si>
    <t xml:space="preserve"> 11</t>
  </si>
  <si>
    <t xml:space="preserve"> 12</t>
  </si>
  <si>
    <t xml:space="preserve"> 13</t>
  </si>
  <si>
    <t xml:space="preserve"> 14</t>
  </si>
  <si>
    <t xml:space="preserve"> 15</t>
  </si>
  <si>
    <t>Харуул хамгааллын зардал</t>
  </si>
  <si>
    <t xml:space="preserve"> 16</t>
  </si>
  <si>
    <t xml:space="preserve"> 17</t>
  </si>
  <si>
    <t xml:space="preserve"> 18</t>
  </si>
  <si>
    <t xml:space="preserve"> 19</t>
  </si>
  <si>
    <t xml:space="preserve"> 20</t>
  </si>
  <si>
    <t xml:space="preserve"> 21</t>
  </si>
  <si>
    <t>20.2. Бусад зарлага</t>
  </si>
  <si>
    <t>Алданги, торгуулийн зардал</t>
  </si>
  <si>
    <t>Хандивын зардал</t>
  </si>
  <si>
    <t>20.3. Цалингийн зардал</t>
  </si>
  <si>
    <t>Үйлдвэрлэл, үйлчилгээний</t>
  </si>
  <si>
    <t>Борлуулалт маркетингийн</t>
  </si>
  <si>
    <t>Ерөнхий ба удирдлагын</t>
  </si>
  <si>
    <t>1. Орлогын татварын зардал</t>
  </si>
  <si>
    <t>Тайлант үеийн орлогын татварын зардал</t>
  </si>
  <si>
    <t>Хойшлогдсон татварын зардал (орлого)</t>
  </si>
  <si>
    <t>Орлогын татварын зардал (орлого)-ын нийт дүн</t>
  </si>
  <si>
    <t>22.1. Толгой компани, хамгийн дээд хяналт тавигч компани, хувь хүний талаарх мэдээлэл</t>
  </si>
  <si>
    <t>Таван Богд Групп</t>
  </si>
  <si>
    <t>Бүртгэгдсэн (оршин суугаа) улс</t>
  </si>
  <si>
    <t>Монгол</t>
  </si>
  <si>
    <t>51%</t>
  </si>
  <si>
    <t>22.2. Тэргүүлэх удирдлагын бүрэлдэхүүнд олгосон нөхөн олговрын тухай мэдээлэл</t>
  </si>
  <si>
    <t>Богино хугацааны тэтгэмж</t>
  </si>
  <si>
    <t>Урт хугацааны тэтгэмж</t>
  </si>
  <si>
    <t>Ажил эрхлэлтийн дараах тэтгэмж</t>
  </si>
  <si>
    <t>Ажлаас халагдсаны тэтгэмж</t>
  </si>
  <si>
    <t>22.3. Холбоотой талуудтай хийсэн ажил гүйлгээ</t>
  </si>
  <si>
    <t>25. Хөрөнгө оруулалт</t>
  </si>
  <si>
    <t>Аж ахуй нэгжийн өөрийн хөрөнгөөр</t>
  </si>
  <si>
    <t>Банкны зээл</t>
  </si>
  <si>
    <t>Үүнээс: Орон сууцны барилга</t>
  </si>
  <si>
    <t>Машин тоног, төхөөрөмж</t>
  </si>
  <si>
    <t>1.7</t>
  </si>
  <si>
    <t>1.8</t>
  </si>
  <si>
    <t>Бусад биет хөрөнгө:</t>
  </si>
  <si>
    <t xml:space="preserve"> 1.8.1</t>
  </si>
  <si>
    <t>Үүнээс:  ХОЗҮХХ</t>
  </si>
  <si>
    <t>1.10</t>
  </si>
  <si>
    <t>Биет хөрөнгийн дүн</t>
  </si>
  <si>
    <t>Биет бус хөрөнгө:</t>
  </si>
  <si>
    <t>Үүнээс: Програм хангамж</t>
  </si>
  <si>
    <t>2.5</t>
  </si>
  <si>
    <t>2.6</t>
  </si>
  <si>
    <t>2.7</t>
  </si>
  <si>
    <t xml:space="preserve"> 2.7.1</t>
  </si>
  <si>
    <t>Үүнээс зураг төсвийн ажил ТЭЗҮ боловсруулах, туршилт судалгаа</t>
  </si>
  <si>
    <t>2.8</t>
  </si>
  <si>
    <t>Биет бус хөрөнгийн дүн</t>
  </si>
  <si>
    <t>20.4. Eрөнхий удирдлагын зардал</t>
  </si>
  <si>
    <t>бусад</t>
  </si>
  <si>
    <t>Хаан банк</t>
  </si>
  <si>
    <t>Төв аймаг барилга</t>
  </si>
  <si>
    <t>ok</t>
  </si>
  <si>
    <t>nariivchlal</t>
  </si>
  <si>
    <t>oruulah</t>
  </si>
  <si>
    <t>06-р сарын 30</t>
  </si>
  <si>
    <t>УБГазарт 28 нд өгсөн</t>
  </si>
  <si>
    <t>Тохируулга</t>
  </si>
  <si>
    <t>ГОЁО</t>
  </si>
  <si>
    <t xml:space="preserve">    Бусад орлого</t>
  </si>
  <si>
    <t>2019 оны 01-р сарын 01-ний үлдэгдэл</t>
  </si>
  <si>
    <t>Захирал ....................... /Ц.Баатарсайхан/</t>
  </si>
  <si>
    <t>Нягтлан бодогч ....................... /null/</t>
  </si>
  <si>
    <t>Тав өймаг</t>
  </si>
  <si>
    <t>2019/01/01</t>
  </si>
  <si>
    <t>Хүйс</t>
  </si>
  <si>
    <t>Тоо</t>
  </si>
  <si>
    <t>Дансны үнэ</t>
  </si>
  <si>
    <t>бусад урт хугацаат төлбөр</t>
  </si>
  <si>
    <t xml:space="preserve"> Таван Богд Групп </t>
  </si>
  <si>
    <t xml:space="preserve"> Монгол </t>
  </si>
  <si>
    <t xml:space="preserve"> 51% </t>
  </si>
  <si>
    <t>Санхүүжилт</t>
  </si>
  <si>
    <t>27,760,000,000</t>
  </si>
  <si>
    <t>Хаан банкнаас авсан зээл</t>
  </si>
  <si>
    <t>Борлуулалт</t>
  </si>
  <si>
    <t>26,053,300</t>
  </si>
  <si>
    <t>Говь ХК бараа борлуулалт</t>
  </si>
  <si>
    <t>1,400,000,000</t>
  </si>
  <si>
    <t>Говь  ХК Хаан банк-д газар борлуулав</t>
  </si>
  <si>
    <t>Пос урамшуулал</t>
  </si>
  <si>
    <t>66,958,459</t>
  </si>
  <si>
    <t>Үйлчилгээ</t>
  </si>
  <si>
    <t>2,420,000</t>
  </si>
  <si>
    <t>Зээлийн хүү</t>
  </si>
  <si>
    <t>3,863,013.7</t>
  </si>
  <si>
    <t>Төсөв хөтөлбөр, хандив</t>
  </si>
  <si>
    <t>-</t>
  </si>
  <si>
    <t>НЭГТГЭСЭН САНХҮҮГИЙН ТАЙЛАН</t>
  </si>
  <si>
    <t xml:space="preserve">   Валютын ханшийн зөрүү</t>
  </si>
  <si>
    <t xml:space="preserve">   Төлсөн ногдол ашиг</t>
  </si>
  <si>
    <t>Шуудангийн хаяг : directorfinance@gobi.mn</t>
  </si>
  <si>
    <t>2022  оны 02-р улирлын санхүүгийн тайлангийн</t>
  </si>
  <si>
    <t xml:space="preserve">                                       Санхүү бүртгэл хариуцсан захирал:        ________________               /Д.Содгэрэл/</t>
  </si>
  <si>
    <t xml:space="preserve">                                       Гүйцэтгэх  Захирал:                                   ________________                /Ц.Баатарсайхан/</t>
  </si>
  <si>
    <t>2022 оны 01-р сарын 01-ний үлдэгдэл</t>
  </si>
  <si>
    <t xml:space="preserve">2022 ОНЫ IV УЛИРЛЫН  </t>
  </si>
  <si>
    <t>2022  оны  12  сарын 31 өдөр</t>
  </si>
  <si>
    <t>Гүйцэтгэх захирал Ц.Баатарсайхан, ерөнхий нягтлан бодогч Д.Содгэрэл  бид манай аж ахуйн нэгжийн  2022 оны 12 сарын 31-ний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бүрэн тусгасан болохыг баталж байна. Үүнд:</t>
  </si>
  <si>
    <t>12-р сарын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</si>
</sst>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_(&quot;$&quot;* \(#,##0.00\);_(&quot;$&quot;* &quot;-&quot;??_);_(@_)"/>
    <numFmt numFmtId="43" formatCode="_(* #,##0.00_);_(* \(#,##0.00\);_(* &quot;-&quot;??_);_(@_)"/>
    <numFmt numFmtId="164" formatCode="_(* #,##0_);_(* \(#,##0\);_(* &quot;-&quot;??_);_(@_)"/>
    <numFmt numFmtId="165" formatCode="#,##0.0"/>
    <numFmt numFmtId="166" formatCode="#,##0.00&quot; &quot;;\-#,##0.00&quot; &quot;"/>
    <numFmt numFmtId="167" formatCode="_([$€-2]* #,##0.00_);_([$€-2]* \(#,##0.00\);_([$€-2]* &quot;-&quot;??_)"/>
    <numFmt numFmtId="168" formatCode="_(* #,##0.0_);_(* \(#,##0.0\);_(* &quot;-&quot;??_);_(@_)"/>
    <numFmt numFmtId="169" formatCode="0.0%"/>
    <numFmt numFmtId="170" formatCode="_(* #,##0.0000_);_(* \(#,##0.0000\);_(* &quot;-&quot;??_);_(@_)"/>
    <numFmt numFmtId="173" formatCode="_(* #,##0.0_);_(* \(#,##0.0\);_(* &quot;-&quot;?_);_(@_)"/>
    <numFmt numFmtId="174" formatCode="#,##0.00_);\(#,##0.00\);&quot;--&quot;_)"/>
    <numFmt numFmtId="175" formatCode="_-* #,##0[$₮-450]_-;\-* #,##0[$₮-450]_-;_-* &quot;-&quot;[$₮-450]_-;_-@_-"/>
    <numFmt numFmtId="176" formatCode="0.0"/>
    <numFmt numFmtId="177" formatCode="[$-409]d/mmm/yy;@"/>
    <numFmt numFmtId="179" formatCode="#,##0.0000"/>
    <numFmt numFmtId="180" formatCode="_-* #,##0.00_₮_-;\-* #,##0.00_₮_-;_-* &quot;-&quot;??_₮_-;_-@_-"/>
    <numFmt numFmtId="182" formatCode="#,##0.00000"/>
    <numFmt numFmtId="183" formatCode="#,##0.000000000"/>
  </numFmts>
  <fonts count="12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Times New Roman"/>
      <family val="1"/>
    </font>
    <font>
      <b/>
      <sz val="10"/>
      <name val="Times New Roman"/>
      <family val="1"/>
    </font>
    <font>
      <sz val="10"/>
      <name val="Arial"/>
      <family val="2"/>
    </font>
    <font>
      <sz val="8"/>
      <name val="Arial"/>
      <family val="2"/>
    </font>
    <font>
      <sz val="7"/>
      <name val="Times New Roman"/>
      <family val="1"/>
    </font>
    <font>
      <sz val="10"/>
      <name val="Arial"/>
      <family val="2"/>
      <charset val="204"/>
    </font>
    <font>
      <sz val="10"/>
      <name val="Arial Mon"/>
      <family val="2"/>
    </font>
    <font>
      <sz val="10"/>
      <color indexed="8"/>
      <name val="Arial"/>
      <family val="2"/>
    </font>
    <font>
      <sz val="10"/>
      <name val="Times New Roman"/>
      <family val="1"/>
      <charset val="204"/>
    </font>
    <font>
      <sz val="10"/>
      <name val="Arial Mon"/>
      <family val="2"/>
      <charset val="204"/>
    </font>
    <font>
      <sz val="10"/>
      <name val="MS Sans Serif"/>
      <family val="2"/>
    </font>
    <font>
      <b/>
      <sz val="50"/>
      <color indexed="9"/>
      <name val="Times New Roman"/>
      <family val="1"/>
    </font>
    <font>
      <sz val="50"/>
      <color indexed="9"/>
      <name val="Times New Roman"/>
      <family val="1"/>
    </font>
    <font>
      <sz val="11"/>
      <name val="Times New Roman"/>
      <family val="1"/>
    </font>
    <font>
      <b/>
      <sz val="11"/>
      <name val="Times New Roman"/>
      <family val="1"/>
    </font>
    <font>
      <sz val="11"/>
      <color indexed="10"/>
      <name val="Times New Roman"/>
      <family val="1"/>
    </font>
    <font>
      <b/>
      <i/>
      <sz val="10"/>
      <name val="Times New Roman"/>
      <family val="1"/>
    </font>
    <font>
      <sz val="10"/>
      <color indexed="10"/>
      <name val="Times New Roman"/>
      <family val="1"/>
    </font>
    <font>
      <b/>
      <sz val="10"/>
      <color indexed="9"/>
      <name val="Times New Roman"/>
      <family val="1"/>
    </font>
    <font>
      <i/>
      <sz val="10"/>
      <name val="Times New Roman"/>
      <family val="1"/>
    </font>
    <font>
      <i/>
      <u/>
      <sz val="10"/>
      <name val="Times New Roman"/>
      <family val="1"/>
    </font>
    <font>
      <b/>
      <sz val="10"/>
      <color indexed="8"/>
      <name val="Times New Roman"/>
      <family val="1"/>
    </font>
    <font>
      <sz val="10"/>
      <color indexed="8"/>
      <name val="Times New Roman"/>
      <family val="1"/>
    </font>
    <font>
      <b/>
      <i/>
      <sz val="10"/>
      <color indexed="8"/>
      <name val="Times New Roman"/>
      <family val="1"/>
    </font>
    <font>
      <sz val="8"/>
      <color indexed="8"/>
      <name val="Arial"/>
      <family val="2"/>
    </font>
    <font>
      <b/>
      <sz val="14"/>
      <color indexed="8"/>
      <name val="Arial"/>
      <family val="2"/>
    </font>
    <font>
      <b/>
      <sz val="8"/>
      <color indexed="8"/>
      <name val="Arial"/>
      <family val="2"/>
    </font>
    <font>
      <b/>
      <sz val="8"/>
      <color indexed="8"/>
      <name val="Arial Mon"/>
      <family val="2"/>
    </font>
    <font>
      <b/>
      <sz val="8"/>
      <name val="Arial"/>
      <family val="2"/>
    </font>
    <font>
      <sz val="8"/>
      <color indexed="10"/>
      <name val="Arial"/>
      <family val="2"/>
    </font>
    <font>
      <sz val="8"/>
      <color indexed="56"/>
      <name val="Arial"/>
      <family val="2"/>
    </font>
    <font>
      <sz val="8"/>
      <color indexed="12"/>
      <name val="Arial"/>
      <family val="2"/>
    </font>
    <font>
      <b/>
      <sz val="8"/>
      <color indexed="12"/>
      <name val="Arial"/>
      <family val="2"/>
    </font>
    <font>
      <sz val="8"/>
      <name val="Arial Mon"/>
      <family val="2"/>
    </font>
    <font>
      <b/>
      <sz val="8"/>
      <color indexed="10"/>
      <name val="Arial"/>
      <family val="2"/>
    </font>
    <font>
      <b/>
      <i/>
      <sz val="8"/>
      <color indexed="10"/>
      <name val="Arial"/>
      <family val="2"/>
    </font>
    <font>
      <b/>
      <sz val="10"/>
      <name val="Arial"/>
      <family val="2"/>
    </font>
    <font>
      <b/>
      <sz val="8"/>
      <color indexed="81"/>
      <name val="Tahoma"/>
      <family val="2"/>
    </font>
    <font>
      <sz val="8"/>
      <color indexed="81"/>
      <name val="Tahoma"/>
      <family val="2"/>
    </font>
    <font>
      <sz val="11"/>
      <color theme="1"/>
      <name val="Calibri"/>
      <family val="2"/>
      <scheme val="minor"/>
    </font>
    <font>
      <sz val="9"/>
      <color theme="1"/>
      <name val="Tahoma"/>
      <family val="2"/>
    </font>
    <font>
      <sz val="10"/>
      <color theme="1"/>
      <name val="Arial"/>
      <family val="2"/>
    </font>
    <font>
      <sz val="11"/>
      <color theme="1"/>
      <name val="Calibri"/>
      <family val="2"/>
    </font>
    <font>
      <sz val="8"/>
      <color theme="1"/>
      <name val="Calibri"/>
      <family val="2"/>
      <scheme val="minor"/>
    </font>
    <font>
      <sz val="8"/>
      <color theme="1"/>
      <name val="Arial"/>
      <family val="2"/>
    </font>
    <font>
      <b/>
      <sz val="8"/>
      <color rgb="FFFF0000"/>
      <name val="Arial"/>
      <family val="2"/>
    </font>
    <font>
      <b/>
      <sz val="8"/>
      <color theme="1"/>
      <name val="Arial"/>
      <family val="2"/>
    </font>
    <font>
      <b/>
      <sz val="8"/>
      <color rgb="FF0000FF"/>
      <name val="Arial"/>
      <family val="2"/>
    </font>
    <font>
      <sz val="8"/>
      <color theme="1"/>
      <name val="Times New Roman"/>
      <family val="1"/>
    </font>
    <font>
      <sz val="8"/>
      <color rgb="FFFF0000"/>
      <name val="Arial"/>
      <family val="2"/>
    </font>
    <font>
      <sz val="8"/>
      <color theme="3" tint="-0.499984740745262"/>
      <name val="Times New Roman"/>
      <family val="1"/>
    </font>
    <font>
      <sz val="10"/>
      <name val="Times New Roman Mon"/>
      <family val="1"/>
    </font>
    <font>
      <b/>
      <sz val="10"/>
      <name val="Times New Roman Mon"/>
      <family val="1"/>
    </font>
    <font>
      <sz val="8"/>
      <name val="Times New Roman Mon"/>
      <family val="1"/>
    </font>
    <font>
      <b/>
      <sz val="8"/>
      <name val="Times New Roman Mon"/>
      <family val="1"/>
    </font>
    <font>
      <sz val="9"/>
      <color rgb="FF000000"/>
      <name val="Times New Roman Mon"/>
      <family val="1"/>
    </font>
    <font>
      <sz val="8"/>
      <color rgb="FF000000"/>
      <name val="Times New Roman Mon"/>
      <family val="1"/>
    </font>
    <font>
      <b/>
      <sz val="14"/>
      <color rgb="FF000000"/>
      <name val="Times New Roman Mon"/>
      <family val="1"/>
    </font>
    <font>
      <sz val="9.75"/>
      <color rgb="FF000000"/>
      <name val="Times New Roman Mon"/>
      <family val="1"/>
    </font>
    <font>
      <sz val="9.5"/>
      <color rgb="FF000000"/>
      <name val="Times New Roman Mon"/>
      <family val="1"/>
    </font>
    <font>
      <sz val="9.5"/>
      <color rgb="FF0066CC"/>
      <name val="Times New Roman Mon"/>
      <family val="1"/>
    </font>
    <font>
      <sz val="9"/>
      <color rgb="FF000000"/>
      <name val="Times New Roman"/>
      <family val="1"/>
    </font>
    <font>
      <sz val="8"/>
      <color rgb="FFFF0000"/>
      <name val="Times New Roman Mon"/>
      <family val="1"/>
    </font>
    <font>
      <sz val="9"/>
      <name val="Times New Roman Mon"/>
      <family val="1"/>
    </font>
    <font>
      <u/>
      <sz val="10"/>
      <name val="Times New Roman Mon"/>
      <family val="1"/>
    </font>
    <font>
      <b/>
      <sz val="8"/>
      <name val="Times New Roman"/>
      <family val="1"/>
    </font>
    <font>
      <sz val="9"/>
      <color rgb="FF0066CC"/>
      <name val="Times New Roman"/>
      <family val="1"/>
    </font>
    <font>
      <b/>
      <sz val="9"/>
      <color rgb="FF000000"/>
      <name val="Times New Roman"/>
      <family val="1"/>
    </font>
    <font>
      <b/>
      <sz val="8"/>
      <color theme="1"/>
      <name val="Times New Roman"/>
      <family val="1"/>
    </font>
    <font>
      <sz val="8"/>
      <name val="Times New Roman"/>
      <family val="1"/>
    </font>
    <font>
      <b/>
      <sz val="8"/>
      <color indexed="8"/>
      <name val="Times New Roman Mon"/>
      <family val="1"/>
    </font>
    <font>
      <sz val="8"/>
      <color theme="1"/>
      <name val="Times New Roman Mon"/>
      <family val="1"/>
    </font>
    <font>
      <b/>
      <sz val="8"/>
      <color indexed="12"/>
      <name val="Times New Roman Mon"/>
      <family val="1"/>
    </font>
    <font>
      <sz val="8"/>
      <color theme="3" tint="-0.499984740745262"/>
      <name val="Times New Roman Mon"/>
      <family val="1"/>
    </font>
    <font>
      <sz val="8"/>
      <color indexed="10"/>
      <name val="Times New Roman Mon"/>
      <family val="1"/>
    </font>
    <font>
      <sz val="10"/>
      <color rgb="FFFF0000"/>
      <name val="Times New Roman Mon"/>
      <family val="1"/>
    </font>
    <font>
      <b/>
      <sz val="8"/>
      <color indexed="9"/>
      <name val="Times New Roman"/>
      <family val="1"/>
    </font>
    <font>
      <sz val="9"/>
      <name val="Times New Roman"/>
      <family val="1"/>
    </font>
    <font>
      <sz val="9"/>
      <color rgb="FF1F497D"/>
      <name val="Times New Roman"/>
      <family val="1"/>
    </font>
    <font>
      <sz val="9"/>
      <name val="Arial"/>
      <family val="2"/>
    </font>
    <font>
      <sz val="10"/>
      <color rgb="FFFF0000"/>
      <name val="Times New Roman"/>
      <family val="1"/>
    </font>
    <font>
      <sz val="9"/>
      <color rgb="FFFF0000"/>
      <name val="Times New Roman"/>
      <family val="1"/>
    </font>
    <font>
      <sz val="11"/>
      <color theme="1"/>
      <name val="Arial"/>
      <family val="2"/>
    </font>
    <font>
      <sz val="11"/>
      <color rgb="FF000000"/>
      <name val="Calibri"/>
      <family val="2"/>
    </font>
    <font>
      <i/>
      <u/>
      <sz val="8"/>
      <name val="Times New Roman"/>
      <family val="1"/>
    </font>
    <font>
      <b/>
      <i/>
      <sz val="8"/>
      <name val="Times New Roman"/>
      <family val="1"/>
    </font>
    <font>
      <i/>
      <sz val="8"/>
      <name val="Times New Roman"/>
      <family val="1"/>
    </font>
    <font>
      <sz val="12"/>
      <color indexed="8"/>
      <name val="Times New Roman Mon"/>
      <family val="1"/>
    </font>
    <font>
      <b/>
      <sz val="14"/>
      <color indexed="8"/>
      <name val="Times New Roman Mon"/>
      <family val="1"/>
    </font>
    <font>
      <sz val="8"/>
      <color indexed="8"/>
      <name val="Times New Roman Mon"/>
      <family val="1"/>
    </font>
    <font>
      <sz val="10"/>
      <color theme="1"/>
      <name val="Times New Roman Mon"/>
      <family val="1"/>
    </font>
    <font>
      <sz val="8"/>
      <color indexed="12"/>
      <name val="Times New Roman Mon"/>
      <family val="1"/>
    </font>
    <font>
      <b/>
      <sz val="10"/>
      <color indexed="12"/>
      <name val="Times New Roman Mon"/>
      <family val="1"/>
    </font>
    <font>
      <sz val="10"/>
      <color indexed="10"/>
      <name val="Times New Roman Mon"/>
      <family val="1"/>
    </font>
    <font>
      <sz val="11"/>
      <color theme="1"/>
      <name val="Times New Roman Mon"/>
      <family val="1"/>
    </font>
    <font>
      <b/>
      <sz val="8"/>
      <color theme="3" tint="-0.499984740745262"/>
      <name val="Times New Roman Mon"/>
      <family val="1"/>
    </font>
    <font>
      <b/>
      <sz val="8"/>
      <color theme="1"/>
      <name val="Times New Roman Mon"/>
      <family val="1"/>
    </font>
    <font>
      <b/>
      <sz val="8"/>
      <color rgb="FFFF0000"/>
      <name val="Times New Roman Mon"/>
      <family val="1"/>
    </font>
    <font>
      <sz val="9"/>
      <color indexed="81"/>
      <name val="Tahoma"/>
      <family val="2"/>
    </font>
    <font>
      <b/>
      <sz val="9"/>
      <color indexed="81"/>
      <name val="Tahoma"/>
      <family val="2"/>
    </font>
    <font>
      <b/>
      <sz val="8.5"/>
      <name val="Times New Roman"/>
      <family val="1"/>
    </font>
    <font>
      <sz val="8.5"/>
      <name val="Times New Roman"/>
      <family val="1"/>
    </font>
    <font>
      <sz val="8.5"/>
      <name val="Arial"/>
      <family val="2"/>
    </font>
    <font>
      <b/>
      <sz val="8.5"/>
      <color indexed="9"/>
      <name val="Times New Roman"/>
      <family val="1"/>
    </font>
    <font>
      <b/>
      <sz val="8.5"/>
      <color indexed="8"/>
      <name val="Times New Roman"/>
      <family val="1"/>
    </font>
    <font>
      <sz val="8.5"/>
      <color indexed="8"/>
      <name val="Times New Roman"/>
      <family val="1"/>
    </font>
    <font>
      <b/>
      <sz val="8.5"/>
      <name val="Arial"/>
      <family val="2"/>
    </font>
    <font>
      <b/>
      <i/>
      <sz val="8.5"/>
      <color indexed="8"/>
      <name val="Times New Roman"/>
      <family val="1"/>
    </font>
    <font>
      <sz val="10"/>
      <color theme="0"/>
      <name val="Times New Roman Mon"/>
      <family val="1"/>
    </font>
    <font>
      <sz val="9"/>
      <color rgb="FFD2B48C"/>
      <name val="Times New Roman"/>
      <family val="1"/>
    </font>
    <font>
      <b/>
      <sz val="10"/>
      <color theme="1"/>
      <name val="Times New Roman Mon"/>
      <family val="1"/>
    </font>
    <font>
      <sz val="10"/>
      <color theme="1"/>
      <name val="Times New Roman"/>
      <family val="2"/>
    </font>
    <font>
      <sz val="11"/>
      <color theme="1"/>
      <name val="Calibri"/>
      <family val="2"/>
      <charset val="1"/>
      <scheme val="minor"/>
    </font>
    <font>
      <b/>
      <sz val="10"/>
      <name val="Arial Unicode MS"/>
      <family val="2"/>
    </font>
    <font>
      <sz val="10"/>
      <name val="Arial Unicode MS"/>
      <family val="2"/>
    </font>
    <font>
      <sz val="10"/>
      <color theme="1"/>
      <name val="Tahoma"/>
      <family val="2"/>
    </font>
    <font>
      <sz val="10"/>
      <color rgb="FFFF0000"/>
      <name val="Arial Unicode MS"/>
      <family val="2"/>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8"/>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DAB9"/>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DBEEF3"/>
        <bgColor indexed="64"/>
      </patternFill>
    </fill>
    <fill>
      <patternFill patternType="solid">
        <fgColor theme="7" tint="0.39997558519241921"/>
        <bgColor indexed="64"/>
      </patternFill>
    </fill>
    <fill>
      <patternFill patternType="solid">
        <fgColor rgb="FF92D05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dotted">
        <color indexed="64"/>
      </bottom>
      <diagonal/>
    </border>
    <border>
      <left/>
      <right/>
      <top style="dotted">
        <color indexed="1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12"/>
      </bottom>
      <diagonal/>
    </border>
    <border>
      <left/>
      <right style="thin">
        <color indexed="64"/>
      </right>
      <top style="thin">
        <color indexed="64"/>
      </top>
      <bottom style="thin">
        <color indexed="12"/>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top/>
      <bottom/>
      <diagonal/>
    </border>
    <border>
      <left/>
      <right/>
      <top style="dotted">
        <color indexed="12"/>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bottom/>
      <diagonal/>
    </border>
    <border>
      <left/>
      <right/>
      <top/>
      <bottom style="dotted">
        <color indexed="12"/>
      </bottom>
      <diagonal/>
    </border>
    <border>
      <left/>
      <right style="thin">
        <color indexed="64"/>
      </right>
      <top/>
      <bottom style="thin">
        <color indexed="64"/>
      </bottom>
      <diagonal/>
    </border>
    <border>
      <left style="thin">
        <color rgb="FFD2B48C"/>
      </left>
      <right style="thin">
        <color rgb="FFD2B48C"/>
      </right>
      <top style="thin">
        <color rgb="FFD2B48C"/>
      </top>
      <bottom style="thin">
        <color rgb="FFD2B48C"/>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hair">
        <color theme="9" tint="-0.24994659260841701"/>
      </left>
      <right style="hair">
        <color theme="9" tint="-0.24994659260841701"/>
      </right>
      <top style="hair">
        <color theme="9" tint="-0.24994659260841701"/>
      </top>
      <bottom style="hair">
        <color theme="9" tint="-0.24994659260841701"/>
      </bottom>
      <diagonal/>
    </border>
    <border>
      <left style="thin">
        <color rgb="FFD2B48C"/>
      </left>
      <right style="thin">
        <color rgb="FFD2B48C"/>
      </right>
      <top style="thin">
        <color rgb="FFD2B48C"/>
      </top>
      <bottom/>
      <diagonal/>
    </border>
    <border>
      <left/>
      <right style="thin">
        <color rgb="FFD2B48C"/>
      </right>
      <top style="thin">
        <color rgb="FFD2B48C"/>
      </top>
      <bottom/>
      <diagonal/>
    </border>
    <border>
      <left style="thin">
        <color rgb="FFD2B48C"/>
      </left>
      <right style="thin">
        <color rgb="FFD2B48C"/>
      </right>
      <top/>
      <bottom style="thin">
        <color rgb="FFD2B48C"/>
      </bottom>
      <diagonal/>
    </border>
    <border>
      <left/>
      <right/>
      <top style="thin">
        <color rgb="FFD2B48C"/>
      </top>
      <bottom style="thin">
        <color rgb="FFD2B48C"/>
      </bottom>
      <diagonal/>
    </border>
    <border>
      <left/>
      <right/>
      <top style="thin">
        <color rgb="FF000000"/>
      </top>
      <bottom/>
      <diagonal/>
    </border>
    <border>
      <left style="thin">
        <color rgb="FFD2B48C"/>
      </left>
      <right/>
      <top style="thin">
        <color rgb="FFD2B48C"/>
      </top>
      <bottom/>
      <diagonal/>
    </border>
    <border>
      <left style="thin">
        <color rgb="FFD2B48C"/>
      </left>
      <right/>
      <top style="thin">
        <color rgb="FFD2B48C"/>
      </top>
      <bottom style="thin">
        <color rgb="FFD2B48C"/>
      </bottom>
      <diagonal/>
    </border>
    <border>
      <left style="hair">
        <color theme="9" tint="-0.24994659260841701"/>
      </left>
      <right/>
      <top style="hair">
        <color theme="9" tint="-0.24994659260841701"/>
      </top>
      <bottom style="hair">
        <color theme="9"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auto="1"/>
      </left>
      <right/>
      <top style="thin">
        <color auto="1"/>
      </top>
      <bottom style="hair">
        <color auto="1"/>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right/>
      <top/>
      <bottom style="hair">
        <color indexed="64"/>
      </bottom>
      <diagonal/>
    </border>
    <border>
      <left style="thin">
        <color rgb="FFD2B48C"/>
      </left>
      <right/>
      <top style="thin">
        <color rgb="FFD2B48C"/>
      </top>
      <bottom style="hair">
        <color theme="9" tint="-0.2499465926084170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bottom/>
      <diagonal/>
    </border>
  </borders>
  <cellStyleXfs count="100">
    <xf numFmtId="0" fontId="0"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4" fontId="5" fillId="0" borderId="0" applyFont="0" applyFill="0" applyBorder="0" applyAlignment="0" applyProtection="0"/>
    <xf numFmtId="166" fontId="4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45" fillId="0" borderId="0"/>
    <xf numFmtId="0" fontId="5" fillId="0" borderId="0"/>
    <xf numFmtId="0" fontId="5" fillId="0" borderId="0"/>
    <xf numFmtId="167" fontId="46" fillId="0" borderId="0"/>
    <xf numFmtId="0" fontId="4" fillId="0" borderId="0"/>
    <xf numFmtId="0" fontId="11" fillId="0" borderId="0"/>
    <xf numFmtId="0" fontId="5" fillId="0" borderId="0"/>
    <xf numFmtId="0" fontId="5" fillId="0" borderId="0"/>
    <xf numFmtId="0" fontId="14" fillId="0" borderId="0" applyNumberFormat="0" applyFill="0" applyBorder="0" applyProtection="0">
      <alignment vertical="top" wrapText="1"/>
    </xf>
    <xf numFmtId="0" fontId="5" fillId="0" borderId="0"/>
    <xf numFmtId="0" fontId="5" fillId="0" borderId="0"/>
    <xf numFmtId="0" fontId="15" fillId="0" borderId="0"/>
    <xf numFmtId="0" fontId="5" fillId="0" borderId="0"/>
    <xf numFmtId="0" fontId="47" fillId="0" borderId="0"/>
    <xf numFmtId="168" fontId="5" fillId="0" borderId="0"/>
    <xf numFmtId="167" fontId="5" fillId="0" borderId="0"/>
    <xf numFmtId="168" fontId="5" fillId="0" borderId="0"/>
    <xf numFmtId="9" fontId="8"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0" fontId="16" fillId="0" borderId="0" applyNumberFormat="0" applyFont="0" applyFill="0" applyBorder="0" applyAlignment="0" applyProtection="0">
      <alignment horizontal="left"/>
    </xf>
    <xf numFmtId="15" fontId="16" fillId="0" borderId="0" applyFont="0" applyFill="0" applyBorder="0" applyAlignment="0" applyProtection="0"/>
    <xf numFmtId="0" fontId="5"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0" fontId="3" fillId="0" borderId="0"/>
    <xf numFmtId="0" fontId="89" fillId="0" borderId="0"/>
    <xf numFmtId="174" fontId="46" fillId="0" borderId="0"/>
    <xf numFmtId="174" fontId="47" fillId="0" borderId="0"/>
    <xf numFmtId="164" fontId="5" fillId="0" borderId="0"/>
    <xf numFmtId="43" fontId="47" fillId="0" borderId="0" applyFont="0" applyFill="0" applyBorder="0" applyAlignment="0" applyProtection="0"/>
    <xf numFmtId="0" fontId="2" fillId="0" borderId="0"/>
    <xf numFmtId="43" fontId="2" fillId="0" borderId="0" applyFont="0" applyFill="0" applyBorder="0" applyAlignment="0" applyProtection="0"/>
    <xf numFmtId="43" fontId="5" fillId="0" borderId="0" applyFont="0" applyFill="0" applyBorder="0" applyAlignment="0" applyProtection="0"/>
    <xf numFmtId="0" fontId="47" fillId="0" borderId="0"/>
    <xf numFmtId="0" fontId="117" fillId="0" borderId="0"/>
    <xf numFmtId="177" fontId="5" fillId="0" borderId="0"/>
    <xf numFmtId="0" fontId="46" fillId="0" borderId="0"/>
    <xf numFmtId="0" fontId="5" fillId="0" borderId="0"/>
    <xf numFmtId="43" fontId="5" fillId="0" borderId="0" applyFont="0" applyFill="0" applyBorder="0" applyAlignment="0" applyProtection="0"/>
    <xf numFmtId="175" fontId="5" fillId="0" borderId="0"/>
    <xf numFmtId="167" fontId="1" fillId="0" borderId="0"/>
    <xf numFmtId="43" fontId="1" fillId="0" borderId="0" applyFont="0" applyFill="0" applyBorder="0" applyAlignment="0" applyProtection="0"/>
    <xf numFmtId="0" fontId="118" fillId="0" borderId="0"/>
    <xf numFmtId="43" fontId="5" fillId="0" borderId="0" applyFont="0" applyFill="0" applyBorder="0" applyAlignment="0" applyProtection="0"/>
    <xf numFmtId="177" fontId="121" fillId="0" borderId="0"/>
    <xf numFmtId="0" fontId="118" fillId="0" borderId="0"/>
    <xf numFmtId="177" fontId="46" fillId="0" borderId="0"/>
    <xf numFmtId="180" fontId="5" fillId="0" borderId="0" applyFont="0" applyFill="0" applyBorder="0" applyAlignment="0" applyProtection="0"/>
    <xf numFmtId="9" fontId="5" fillId="0" borderId="0" applyFont="0" applyFill="0" applyBorder="0" applyAlignment="0" applyProtection="0"/>
  </cellStyleXfs>
  <cellXfs count="1206">
    <xf numFmtId="0" fontId="0" fillId="0" borderId="0" xfId="0"/>
    <xf numFmtId="0" fontId="6" fillId="0" borderId="1" xfId="0" applyFont="1" applyBorder="1"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6" fillId="0" borderId="0" xfId="0" applyFont="1"/>
    <xf numFmtId="0" fontId="6" fillId="0" borderId="0" xfId="0" applyFont="1" applyAlignment="1">
      <alignment horizontal="justify" vertical="center"/>
    </xf>
    <xf numFmtId="0" fontId="6" fillId="0" borderId="0" xfId="0" applyFont="1" applyAlignment="1">
      <alignment horizontal="justify"/>
    </xf>
    <xf numFmtId="0" fontId="6" fillId="0" borderId="0" xfId="0" applyFont="1" applyAlignment="1">
      <alignment horizontal="left" vertical="center" wrapText="1"/>
    </xf>
    <xf numFmtId="0" fontId="19" fillId="0" borderId="0" xfId="0" applyFont="1"/>
    <xf numFmtId="0" fontId="19" fillId="0" borderId="0" xfId="0" applyFont="1" applyAlignment="1">
      <alignment horizontal="right" vertical="top"/>
    </xf>
    <xf numFmtId="0" fontId="19" fillId="0" borderId="0" xfId="0" applyFont="1" applyAlignment="1">
      <alignment horizontal="right"/>
    </xf>
    <xf numFmtId="0" fontId="19" fillId="0" borderId="0" xfId="0" applyFont="1" applyAlignment="1">
      <alignment vertical="top"/>
    </xf>
    <xf numFmtId="0" fontId="19" fillId="0" borderId="0" xfId="0" applyFont="1" applyAlignment="1">
      <alignment horizontal="left" vertical="top"/>
    </xf>
    <xf numFmtId="0" fontId="21" fillId="0" borderId="0" xfId="0" applyFont="1"/>
    <xf numFmtId="0" fontId="19" fillId="0" borderId="1" xfId="0" applyFont="1" applyBorder="1" applyAlignment="1">
      <alignment horizontal="center" vertical="center"/>
    </xf>
    <xf numFmtId="0" fontId="19" fillId="0" borderId="0" xfId="0" applyFont="1" applyAlignment="1">
      <alignment horizontal="center"/>
    </xf>
    <xf numFmtId="0" fontId="19" fillId="0" borderId="1" xfId="0" applyFont="1" applyBorder="1" applyAlignment="1">
      <alignment horizontal="left" vertical="top"/>
    </xf>
    <xf numFmtId="0" fontId="6" fillId="2" borderId="0" xfId="54" applyFont="1" applyFill="1" applyAlignment="1" applyProtection="1">
      <alignment horizontal="center" vertical="center"/>
      <protection hidden="1"/>
    </xf>
    <xf numFmtId="0" fontId="7" fillId="2" borderId="0" xfId="54" applyFont="1" applyFill="1" applyAlignment="1">
      <alignment horizontal="center" vertical="center"/>
    </xf>
    <xf numFmtId="0" fontId="6" fillId="2" borderId="0" xfId="54" applyFont="1" applyFill="1"/>
    <xf numFmtId="0" fontId="6" fillId="2" borderId="0" xfId="54" applyFont="1" applyFill="1" applyAlignment="1">
      <alignment horizontal="center" vertical="center"/>
    </xf>
    <xf numFmtId="0" fontId="7" fillId="3" borderId="0" xfId="54" applyFont="1" applyFill="1" applyAlignment="1">
      <alignment horizontal="left"/>
    </xf>
    <xf numFmtId="0" fontId="24" fillId="3" borderId="0" xfId="54" applyFont="1" applyFill="1" applyAlignment="1">
      <alignment horizontal="center"/>
    </xf>
    <xf numFmtId="0" fontId="6" fillId="2" borderId="5" xfId="54" applyFont="1" applyFill="1" applyBorder="1"/>
    <xf numFmtId="0" fontId="6" fillId="2" borderId="5" xfId="54" applyFont="1" applyFill="1" applyBorder="1" applyAlignment="1">
      <alignment horizontal="center"/>
    </xf>
    <xf numFmtId="0" fontId="6" fillId="2" borderId="6" xfId="54" applyFont="1" applyFill="1" applyBorder="1" applyAlignment="1">
      <alignment horizontal="left"/>
    </xf>
    <xf numFmtId="0" fontId="6" fillId="2" borderId="0" xfId="54" applyFont="1" applyFill="1" applyAlignment="1">
      <alignment horizontal="left"/>
    </xf>
    <xf numFmtId="0" fontId="7" fillId="2" borderId="1" xfId="54" applyFont="1" applyFill="1" applyBorder="1" applyAlignment="1">
      <alignment horizontal="center" vertical="center" wrapText="1"/>
    </xf>
    <xf numFmtId="0" fontId="7" fillId="2" borderId="7" xfId="54" applyFont="1" applyFill="1" applyBorder="1" applyAlignment="1">
      <alignment horizontal="center" vertical="center" wrapText="1"/>
    </xf>
    <xf numFmtId="0" fontId="6" fillId="2" borderId="1" xfId="54" applyFont="1" applyFill="1" applyBorder="1" applyAlignment="1">
      <alignment horizontal="center" vertical="center"/>
    </xf>
    <xf numFmtId="0" fontId="6" fillId="0" borderId="0" xfId="0" applyFont="1" applyAlignment="1">
      <alignment horizontal="center" vertical="center"/>
    </xf>
    <xf numFmtId="0" fontId="25" fillId="2" borderId="0" xfId="54" applyFont="1" applyFill="1" applyAlignment="1">
      <alignment horizontal="center" vertical="center"/>
    </xf>
    <xf numFmtId="0" fontId="7" fillId="2" borderId="0" xfId="54" applyFont="1" applyFill="1" applyAlignment="1">
      <alignment horizontal="center" vertical="center" wrapText="1"/>
    </xf>
    <xf numFmtId="0" fontId="7" fillId="2" borderId="0" xfId="54" applyFont="1" applyFill="1" applyAlignment="1">
      <alignment vertical="center" wrapText="1"/>
    </xf>
    <xf numFmtId="0" fontId="22" fillId="2" borderId="0" xfId="54" applyFont="1" applyFill="1" applyAlignment="1">
      <alignment horizontal="center" vertical="center"/>
    </xf>
    <xf numFmtId="0" fontId="7" fillId="2" borderId="1" xfId="54" applyFont="1" applyFill="1" applyBorder="1" applyAlignment="1">
      <alignment horizontal="center" vertical="center"/>
    </xf>
    <xf numFmtId="0" fontId="7" fillId="2" borderId="7" xfId="54" applyFont="1" applyFill="1" applyBorder="1" applyAlignment="1">
      <alignment horizontal="center" vertical="center"/>
    </xf>
    <xf numFmtId="0" fontId="6" fillId="2" borderId="1" xfId="54" applyFont="1" applyFill="1" applyBorder="1" applyAlignment="1">
      <alignment horizontal="right"/>
    </xf>
    <xf numFmtId="0" fontId="22" fillId="2" borderId="0" xfId="54" applyFont="1" applyFill="1" applyAlignment="1">
      <alignment horizontal="left"/>
    </xf>
    <xf numFmtId="0" fontId="7" fillId="2" borderId="1" xfId="54" applyFont="1" applyFill="1" applyBorder="1" applyAlignment="1">
      <alignment horizontal="center"/>
    </xf>
    <xf numFmtId="0" fontId="6" fillId="2" borderId="1" xfId="54" applyFont="1" applyFill="1" applyBorder="1" applyAlignment="1">
      <alignment horizontal="left"/>
    </xf>
    <xf numFmtId="0" fontId="7" fillId="2" borderId="0" xfId="54" applyFont="1" applyFill="1" applyAlignment="1">
      <alignment horizontal="center"/>
    </xf>
    <xf numFmtId="0" fontId="24" fillId="2" borderId="0" xfId="54" applyFont="1" applyFill="1" applyAlignment="1">
      <alignment horizontal="center" vertical="center"/>
    </xf>
    <xf numFmtId="0" fontId="24" fillId="2" borderId="0" xfId="54" applyFont="1" applyFill="1" applyAlignment="1">
      <alignment horizontal="center"/>
    </xf>
    <xf numFmtId="0" fontId="6" fillId="2" borderId="7" xfId="54" applyFont="1" applyFill="1" applyBorder="1" applyAlignment="1">
      <alignment horizontal="center" vertical="center"/>
    </xf>
    <xf numFmtId="3" fontId="7" fillId="2" borderId="1" xfId="54" applyNumberFormat="1" applyFont="1" applyFill="1" applyBorder="1" applyAlignment="1">
      <alignment horizontal="center" vertical="center" wrapText="1"/>
    </xf>
    <xf numFmtId="3" fontId="7" fillId="2" borderId="7" xfId="54" applyNumberFormat="1" applyFont="1" applyFill="1" applyBorder="1" applyAlignment="1">
      <alignment horizontal="center" vertical="center" wrapText="1"/>
    </xf>
    <xf numFmtId="0" fontId="24" fillId="2" borderId="0" xfId="54" applyFont="1" applyFill="1" applyAlignment="1">
      <alignment horizontal="center" vertical="center" wrapText="1"/>
    </xf>
    <xf numFmtId="0" fontId="6" fillId="2" borderId="1" xfId="54" applyFont="1" applyFill="1" applyBorder="1" applyAlignment="1">
      <alignment horizontal="center"/>
    </xf>
    <xf numFmtId="0" fontId="7" fillId="0" borderId="1" xfId="0" applyFont="1" applyBorder="1" applyAlignment="1">
      <alignment horizontal="center" vertical="center"/>
    </xf>
    <xf numFmtId="0" fontId="6" fillId="2" borderId="1" xfId="54" applyFont="1" applyFill="1" applyBorder="1" applyAlignment="1">
      <alignment horizontal="center" vertical="center" wrapText="1"/>
    </xf>
    <xf numFmtId="0" fontId="6" fillId="2" borderId="11" xfId="54" applyFont="1" applyFill="1" applyBorder="1" applyAlignment="1">
      <alignment horizontal="center" vertical="center"/>
    </xf>
    <xf numFmtId="0" fontId="6" fillId="2" borderId="12" xfId="54" applyFont="1" applyFill="1" applyBorder="1" applyAlignment="1">
      <alignment horizontal="center" vertical="center"/>
    </xf>
    <xf numFmtId="0" fontId="22" fillId="2" borderId="0" xfId="54" applyFont="1" applyFill="1" applyAlignment="1">
      <alignment horizontal="center"/>
    </xf>
    <xf numFmtId="0" fontId="6" fillId="2" borderId="0" xfId="54" applyFont="1" applyFill="1" applyAlignment="1">
      <alignment horizontal="center"/>
    </xf>
    <xf numFmtId="3" fontId="6" fillId="2" borderId="0" xfId="54" applyNumberFormat="1" applyFont="1" applyFill="1" applyAlignment="1">
      <alignment horizontal="center" vertical="center"/>
    </xf>
    <xf numFmtId="0" fontId="22" fillId="2" borderId="0" xfId="54" applyFont="1" applyFill="1"/>
    <xf numFmtId="0" fontId="7" fillId="2" borderId="1" xfId="54" applyFont="1" applyFill="1" applyBorder="1" applyAlignment="1">
      <alignment horizontal="left"/>
    </xf>
    <xf numFmtId="0" fontId="6" fillId="2" borderId="1" xfId="54" applyFont="1" applyFill="1" applyBorder="1" applyAlignment="1">
      <alignment vertical="center"/>
    </xf>
    <xf numFmtId="0" fontId="6" fillId="2" borderId="1" xfId="54" applyFont="1" applyFill="1" applyBorder="1" applyAlignment="1">
      <alignment horizontal="left" wrapText="1"/>
    </xf>
    <xf numFmtId="0" fontId="25" fillId="2" borderId="0" xfId="54" applyFont="1" applyFill="1" applyAlignment="1">
      <alignment horizontal="left" vertical="center"/>
    </xf>
    <xf numFmtId="0" fontId="25" fillId="2" borderId="0" xfId="54" applyFont="1" applyFill="1" applyAlignment="1">
      <alignment horizontal="left" wrapText="1"/>
    </xf>
    <xf numFmtId="0" fontId="6" fillId="2" borderId="1" xfId="54" applyFont="1" applyFill="1" applyBorder="1" applyAlignment="1">
      <alignment horizontal="center" wrapText="1"/>
    </xf>
    <xf numFmtId="0" fontId="6" fillId="2" borderId="13" xfId="54" applyFont="1" applyFill="1" applyBorder="1"/>
    <xf numFmtId="0" fontId="6" fillId="2" borderId="0" xfId="54" applyFont="1" applyFill="1" applyAlignment="1">
      <alignment vertical="center"/>
    </xf>
    <xf numFmtId="0" fontId="27" fillId="0" borderId="1" xfId="0" applyFont="1" applyBorder="1" applyAlignment="1">
      <alignment horizontal="center" vertical="center" wrapText="1"/>
    </xf>
    <xf numFmtId="0" fontId="27" fillId="0" borderId="7" xfId="0" applyFont="1" applyBorder="1" applyAlignment="1">
      <alignment horizontal="center" vertical="center"/>
    </xf>
    <xf numFmtId="43" fontId="6" fillId="2" borderId="1" xfId="1" applyFont="1" applyFill="1" applyBorder="1" applyAlignment="1" applyProtection="1">
      <alignment horizontal="right"/>
    </xf>
    <xf numFmtId="43" fontId="7" fillId="2" borderId="1" xfId="1" applyFont="1" applyFill="1" applyBorder="1" applyAlignment="1" applyProtection="1">
      <alignment horizontal="right"/>
    </xf>
    <xf numFmtId="43" fontId="6" fillId="2" borderId="1" xfId="1" applyFont="1" applyFill="1" applyBorder="1" applyAlignment="1" applyProtection="1">
      <alignment horizontal="center"/>
    </xf>
    <xf numFmtId="43" fontId="7" fillId="2" borderId="1" xfId="1" applyFont="1" applyFill="1" applyBorder="1" applyAlignment="1" applyProtection="1">
      <alignment horizontal="right" vertical="center"/>
    </xf>
    <xf numFmtId="43" fontId="0" fillId="0" borderId="0" xfId="1" applyFont="1"/>
    <xf numFmtId="43" fontId="24" fillId="2" borderId="0" xfId="1" applyFont="1" applyFill="1" applyAlignment="1" applyProtection="1">
      <alignment horizontal="center"/>
    </xf>
    <xf numFmtId="43" fontId="7" fillId="2" borderId="1" xfId="1" applyFont="1" applyFill="1" applyBorder="1" applyAlignment="1" applyProtection="1">
      <alignment horizontal="center"/>
    </xf>
    <xf numFmtId="43" fontId="6" fillId="2" borderId="0" xfId="1" applyFont="1" applyFill="1" applyProtection="1"/>
    <xf numFmtId="43" fontId="6" fillId="2" borderId="0" xfId="1" applyFont="1" applyFill="1" applyAlignment="1" applyProtection="1">
      <alignment horizontal="left"/>
    </xf>
    <xf numFmtId="43" fontId="7" fillId="2" borderId="1" xfId="1" applyFont="1" applyFill="1" applyBorder="1" applyAlignment="1" applyProtection="1">
      <alignment horizontal="center" vertical="center"/>
    </xf>
    <xf numFmtId="43" fontId="7" fillId="2" borderId="1" xfId="1" applyFont="1" applyFill="1" applyBorder="1" applyAlignment="1" applyProtection="1">
      <alignment horizontal="center" vertical="center" wrapText="1"/>
    </xf>
    <xf numFmtId="43" fontId="6" fillId="2" borderId="0" xfId="1" applyFont="1" applyFill="1" applyBorder="1" applyAlignment="1" applyProtection="1">
      <alignment horizontal="center"/>
    </xf>
    <xf numFmtId="43" fontId="6" fillId="2" borderId="1" xfId="1" applyFont="1" applyFill="1" applyBorder="1" applyProtection="1"/>
    <xf numFmtId="43" fontId="6" fillId="2" borderId="12" xfId="1" applyFont="1" applyFill="1" applyBorder="1" applyAlignment="1" applyProtection="1">
      <alignment horizontal="center" vertical="center"/>
    </xf>
    <xf numFmtId="43" fontId="6" fillId="2" borderId="0" xfId="1" applyFont="1" applyFill="1" applyBorder="1" applyAlignment="1" applyProtection="1">
      <alignment horizontal="center" vertical="center"/>
    </xf>
    <xf numFmtId="43" fontId="6" fillId="2" borderId="1" xfId="1" applyFont="1" applyFill="1" applyBorder="1" applyAlignment="1" applyProtection="1">
      <alignment horizontal="center" vertical="center"/>
    </xf>
    <xf numFmtId="43" fontId="6" fillId="2" borderId="0" xfId="1" applyFont="1" applyFill="1" applyAlignment="1" applyProtection="1">
      <alignment horizontal="center" vertical="center"/>
    </xf>
    <xf numFmtId="43" fontId="6" fillId="0" borderId="0" xfId="1" applyFont="1" applyAlignment="1">
      <alignment horizontal="center" vertical="center"/>
    </xf>
    <xf numFmtId="167" fontId="30" fillId="0" borderId="0" xfId="36" applyNumberFormat="1" applyFont="1"/>
    <xf numFmtId="167" fontId="31" fillId="0" borderId="0" xfId="36" applyNumberFormat="1" applyFont="1" applyAlignment="1">
      <alignment horizontal="right"/>
    </xf>
    <xf numFmtId="43" fontId="31" fillId="0" borderId="0" xfId="1" applyFont="1" applyFill="1" applyBorder="1" applyAlignment="1">
      <alignment horizontal="right"/>
    </xf>
    <xf numFmtId="43" fontId="32" fillId="0" borderId="0" xfId="1" applyFont="1" applyFill="1" applyBorder="1" applyAlignment="1">
      <alignment horizontal="right"/>
    </xf>
    <xf numFmtId="43" fontId="49" fillId="0" borderId="0" xfId="1" applyFont="1"/>
    <xf numFmtId="167" fontId="49" fillId="0" borderId="0" xfId="0" applyNumberFormat="1" applyFont="1"/>
    <xf numFmtId="167" fontId="0" fillId="0" borderId="0" xfId="0" applyNumberFormat="1"/>
    <xf numFmtId="167" fontId="47" fillId="0" borderId="0" xfId="46" applyNumberFormat="1" applyFont="1"/>
    <xf numFmtId="43" fontId="47" fillId="0" borderId="0" xfId="1" applyFont="1"/>
    <xf numFmtId="43" fontId="50" fillId="0" borderId="0" xfId="1" applyFont="1"/>
    <xf numFmtId="43" fontId="33" fillId="0" borderId="0" xfId="1" applyFont="1" applyFill="1" applyBorder="1"/>
    <xf numFmtId="43" fontId="47" fillId="0" borderId="0" xfId="1" applyFont="1" applyFill="1"/>
    <xf numFmtId="167" fontId="50" fillId="0" borderId="0" xfId="46" applyNumberFormat="1" applyFont="1"/>
    <xf numFmtId="167" fontId="31" fillId="0" borderId="0" xfId="36" applyNumberFormat="1" applyFont="1"/>
    <xf numFmtId="43" fontId="31" fillId="0" borderId="0" xfId="1" applyFont="1" applyFill="1" applyBorder="1"/>
    <xf numFmtId="43" fontId="32" fillId="0" borderId="0" xfId="1" applyFont="1" applyFill="1" applyBorder="1"/>
    <xf numFmtId="43" fontId="30" fillId="0" borderId="0" xfId="2" applyFont="1" applyFill="1" applyBorder="1"/>
    <xf numFmtId="43" fontId="30" fillId="0" borderId="0" xfId="1" applyFont="1" applyFill="1" applyBorder="1"/>
    <xf numFmtId="43" fontId="51" fillId="0" borderId="0" xfId="1" applyFont="1" applyFill="1" applyBorder="1" applyAlignment="1">
      <alignment horizontal="center"/>
    </xf>
    <xf numFmtId="43" fontId="51" fillId="0" borderId="0" xfId="2" applyFont="1" applyFill="1" applyBorder="1" applyAlignment="1">
      <alignment horizontal="center"/>
    </xf>
    <xf numFmtId="167" fontId="32" fillId="0" borderId="0" xfId="51" applyFont="1" applyAlignment="1">
      <alignment horizontal="left" indent="1"/>
    </xf>
    <xf numFmtId="43" fontId="32" fillId="0" borderId="0" xfId="1" applyFont="1" applyFill="1" applyBorder="1" applyAlignment="1">
      <alignment horizontal="left" indent="1"/>
    </xf>
    <xf numFmtId="43" fontId="30" fillId="0" borderId="0" xfId="1" applyFont="1" applyFill="1" applyBorder="1" applyAlignment="1">
      <alignment horizontal="left" indent="1"/>
    </xf>
    <xf numFmtId="167" fontId="30" fillId="0" borderId="0" xfId="51" applyFont="1" applyAlignment="1">
      <alignment horizontal="left" indent="1"/>
    </xf>
    <xf numFmtId="167" fontId="34" fillId="0" borderId="20" xfId="2" applyNumberFormat="1" applyFont="1" applyFill="1" applyBorder="1" applyAlignment="1">
      <alignment vertical="center" wrapText="1"/>
    </xf>
    <xf numFmtId="43" fontId="30" fillId="0" borderId="0" xfId="1" applyFont="1" applyFill="1" applyBorder="1" applyAlignment="1">
      <alignment horizontal="center"/>
    </xf>
    <xf numFmtId="167" fontId="30" fillId="0" borderId="0" xfId="36" applyNumberFormat="1" applyFont="1" applyAlignment="1">
      <alignment horizontal="center"/>
    </xf>
    <xf numFmtId="167" fontId="34" fillId="0" borderId="21" xfId="2" applyNumberFormat="1" applyFont="1" applyFill="1" applyBorder="1" applyAlignment="1">
      <alignment vertical="center" wrapText="1"/>
    </xf>
    <xf numFmtId="43" fontId="34" fillId="0" borderId="22" xfId="1" applyFont="1" applyFill="1" applyBorder="1" applyAlignment="1" applyProtection="1">
      <alignment horizontal="center" vertical="center"/>
      <protection locked="0"/>
    </xf>
    <xf numFmtId="167" fontId="34" fillId="0" borderId="22" xfId="64" applyNumberFormat="1" applyFont="1" applyBorder="1" applyAlignment="1" applyProtection="1">
      <alignment horizontal="center" vertical="center"/>
      <protection locked="0"/>
    </xf>
    <xf numFmtId="167" fontId="34" fillId="0" borderId="23" xfId="2" applyNumberFormat="1" applyFont="1" applyFill="1" applyBorder="1" applyAlignment="1">
      <alignment vertical="center" wrapText="1"/>
    </xf>
    <xf numFmtId="43" fontId="34" fillId="0" borderId="24" xfId="1" applyFont="1" applyFill="1" applyBorder="1" applyAlignment="1">
      <alignment vertical="center"/>
    </xf>
    <xf numFmtId="43" fontId="34" fillId="0" borderId="24" xfId="2" applyFont="1" applyFill="1" applyBorder="1" applyAlignment="1">
      <alignment vertical="center"/>
    </xf>
    <xf numFmtId="43" fontId="34" fillId="4" borderId="24" xfId="1" applyFont="1" applyFill="1" applyBorder="1" applyAlignment="1">
      <alignment vertical="center"/>
    </xf>
    <xf numFmtId="43" fontId="34" fillId="4" borderId="24" xfId="2" applyFont="1" applyFill="1" applyBorder="1" applyAlignment="1">
      <alignment vertical="center"/>
    </xf>
    <xf numFmtId="167" fontId="34" fillId="0" borderId="24" xfId="2" applyNumberFormat="1" applyFont="1" applyFill="1" applyBorder="1" applyAlignment="1">
      <alignment horizontal="center" vertical="center" wrapText="1"/>
    </xf>
    <xf numFmtId="167" fontId="34" fillId="0" borderId="22" xfId="64" applyNumberFormat="1" applyFont="1" applyBorder="1" applyAlignment="1">
      <alignment vertical="center"/>
    </xf>
    <xf numFmtId="43" fontId="32" fillId="0" borderId="22" xfId="1" applyFont="1" applyFill="1" applyBorder="1" applyAlignment="1">
      <alignment horizontal="center"/>
    </xf>
    <xf numFmtId="164" fontId="32" fillId="0" borderId="22" xfId="2" applyNumberFormat="1" applyFont="1" applyFill="1" applyBorder="1" applyAlignment="1">
      <alignment horizontal="center"/>
    </xf>
    <xf numFmtId="43" fontId="32" fillId="4" borderId="22" xfId="1" applyFont="1" applyFill="1" applyBorder="1" applyAlignment="1">
      <alignment horizontal="center"/>
    </xf>
    <xf numFmtId="164" fontId="32" fillId="4" borderId="22" xfId="2" applyNumberFormat="1" applyFont="1" applyFill="1" applyBorder="1" applyAlignment="1">
      <alignment horizontal="center"/>
    </xf>
    <xf numFmtId="167" fontId="9" fillId="0" borderId="25" xfId="64" applyNumberFormat="1" applyFont="1" applyBorder="1" applyAlignment="1">
      <alignment horizontal="center" vertical="center"/>
    </xf>
    <xf numFmtId="167" fontId="9" fillId="0" borderId="26" xfId="64" applyNumberFormat="1" applyFont="1" applyBorder="1" applyAlignment="1">
      <alignment horizontal="left" vertical="center" indent="1"/>
    </xf>
    <xf numFmtId="43" fontId="50" fillId="0" borderId="20" xfId="1" applyFont="1" applyFill="1" applyBorder="1"/>
    <xf numFmtId="43" fontId="30" fillId="4" borderId="20" xfId="1" applyFont="1" applyFill="1" applyBorder="1"/>
    <xf numFmtId="43" fontId="50" fillId="0" borderId="20" xfId="3" applyFont="1" applyFill="1" applyBorder="1"/>
    <xf numFmtId="167" fontId="9" fillId="0" borderId="27" xfId="64" applyNumberFormat="1" applyFont="1" applyBorder="1" applyAlignment="1">
      <alignment horizontal="center" vertical="center"/>
    </xf>
    <xf numFmtId="167" fontId="9" fillId="0" borderId="26" xfId="64" applyNumberFormat="1" applyFont="1" applyBorder="1" applyAlignment="1">
      <alignment horizontal="left" vertical="center" indent="3"/>
    </xf>
    <xf numFmtId="43" fontId="50" fillId="0" borderId="26" xfId="1" applyFont="1" applyFill="1" applyBorder="1"/>
    <xf numFmtId="43" fontId="30" fillId="4" borderId="26" xfId="1" applyFont="1" applyFill="1" applyBorder="1"/>
    <xf numFmtId="43" fontId="50" fillId="0" borderId="26" xfId="3" applyFont="1" applyFill="1" applyBorder="1"/>
    <xf numFmtId="167" fontId="35" fillId="0" borderId="26" xfId="64" applyNumberFormat="1" applyFont="1" applyBorder="1" applyAlignment="1">
      <alignment horizontal="left" vertical="center" indent="1"/>
    </xf>
    <xf numFmtId="164" fontId="50" fillId="0" borderId="26" xfId="14" applyNumberFormat="1" applyFont="1" applyFill="1" applyBorder="1"/>
    <xf numFmtId="167" fontId="30" fillId="0" borderId="27" xfId="62" applyNumberFormat="1" applyFont="1" applyBorder="1" applyAlignment="1">
      <alignment horizontal="center" vertical="center"/>
    </xf>
    <xf numFmtId="43" fontId="49" fillId="0" borderId="0" xfId="0" applyNumberFormat="1" applyFont="1"/>
    <xf numFmtId="43" fontId="9" fillId="0" borderId="26" xfId="1" applyFont="1" applyFill="1" applyBorder="1" applyAlignment="1">
      <alignment horizontal="center" vertical="center"/>
    </xf>
    <xf numFmtId="164" fontId="9" fillId="0" borderId="26" xfId="14" applyNumberFormat="1" applyFont="1" applyFill="1" applyBorder="1" applyAlignment="1">
      <alignment horizontal="center" vertical="center"/>
    </xf>
    <xf numFmtId="43" fontId="9" fillId="4" borderId="26" xfId="1" applyFont="1" applyFill="1" applyBorder="1" applyAlignment="1">
      <alignment horizontal="center" vertical="center"/>
    </xf>
    <xf numFmtId="43" fontId="9" fillId="0" borderId="26" xfId="3" applyFont="1" applyFill="1" applyBorder="1" applyAlignment="1">
      <alignment horizontal="center" vertical="center"/>
    </xf>
    <xf numFmtId="167" fontId="50" fillId="0" borderId="26" xfId="64" applyNumberFormat="1" applyFont="1" applyBorder="1" applyAlignment="1">
      <alignment horizontal="left" vertical="center" indent="1"/>
    </xf>
    <xf numFmtId="167" fontId="35" fillId="0" borderId="27" xfId="62" applyNumberFormat="1" applyFont="1" applyBorder="1" applyAlignment="1">
      <alignment horizontal="center" vertical="center"/>
    </xf>
    <xf numFmtId="167" fontId="50" fillId="0" borderId="26" xfId="62" applyNumberFormat="1" applyFont="1" applyBorder="1" applyAlignment="1">
      <alignment horizontal="left" vertical="center" wrapText="1" indent="3"/>
    </xf>
    <xf numFmtId="167" fontId="30" fillId="0" borderId="26" xfId="62" applyNumberFormat="1" applyFont="1" applyBorder="1" applyAlignment="1">
      <alignment horizontal="left" vertical="center" wrapText="1" indent="3"/>
    </xf>
    <xf numFmtId="43" fontId="9" fillId="6" borderId="26" xfId="3" applyFont="1" applyFill="1" applyBorder="1"/>
    <xf numFmtId="167" fontId="9" fillId="0" borderId="24" xfId="64" applyNumberFormat="1" applyFont="1" applyBorder="1" applyAlignment="1">
      <alignment horizontal="center" vertical="center"/>
    </xf>
    <xf numFmtId="167" fontId="34" fillId="0" borderId="22" xfId="64" applyNumberFormat="1" applyFont="1" applyBorder="1" applyAlignment="1">
      <alignment horizontal="center" vertical="center"/>
    </xf>
    <xf numFmtId="43" fontId="32" fillId="0" borderId="22" xfId="1" applyFont="1" applyFill="1" applyBorder="1"/>
    <xf numFmtId="43" fontId="32" fillId="4" borderId="22" xfId="1" applyFont="1" applyFill="1" applyBorder="1"/>
    <xf numFmtId="43" fontId="32" fillId="0" borderId="22" xfId="3" applyFont="1" applyFill="1" applyBorder="1"/>
    <xf numFmtId="43" fontId="9" fillId="0" borderId="26" xfId="2" applyFont="1" applyFill="1" applyBorder="1" applyAlignment="1">
      <alignment vertical="center"/>
    </xf>
    <xf numFmtId="43" fontId="50" fillId="0" borderId="22" xfId="1" applyFont="1" applyFill="1" applyBorder="1"/>
    <xf numFmtId="164" fontId="50" fillId="0" borderId="22" xfId="14" applyNumberFormat="1" applyFont="1" applyFill="1" applyBorder="1"/>
    <xf numFmtId="43" fontId="30" fillId="4" borderId="22" xfId="1" applyFont="1" applyFill="1" applyBorder="1"/>
    <xf numFmtId="43" fontId="50" fillId="0" borderId="22" xfId="3" applyFont="1" applyFill="1" applyBorder="1"/>
    <xf numFmtId="167" fontId="9" fillId="0" borderId="27" xfId="62" applyNumberFormat="1" applyFont="1" applyBorder="1" applyAlignment="1">
      <alignment horizontal="center" vertical="center"/>
    </xf>
    <xf numFmtId="167" fontId="9" fillId="0" borderId="26" xfId="64" applyNumberFormat="1" applyFont="1" applyBorder="1" applyAlignment="1">
      <alignment horizontal="left" vertical="center" indent="5"/>
    </xf>
    <xf numFmtId="164" fontId="30" fillId="4" borderId="26" xfId="2" applyNumberFormat="1" applyFont="1" applyFill="1" applyBorder="1"/>
    <xf numFmtId="167" fontId="36" fillId="0" borderId="27" xfId="62" applyNumberFormat="1" applyFont="1" applyBorder="1" applyAlignment="1">
      <alignment horizontal="center" vertical="center"/>
    </xf>
    <xf numFmtId="167" fontId="36" fillId="0" borderId="26" xfId="64" applyNumberFormat="1" applyFont="1" applyBorder="1" applyAlignment="1">
      <alignment horizontal="left" vertical="center" indent="3"/>
    </xf>
    <xf numFmtId="167" fontId="9" fillId="0" borderId="27" xfId="64" applyNumberFormat="1" applyFont="1" applyBorder="1" applyAlignment="1">
      <alignment horizontal="left" vertical="center" indent="1"/>
    </xf>
    <xf numFmtId="164" fontId="9" fillId="4" borderId="26" xfId="2" applyNumberFormat="1" applyFont="1" applyFill="1" applyBorder="1" applyAlignment="1">
      <alignment horizontal="center" vertical="center"/>
    </xf>
    <xf numFmtId="167" fontId="9" fillId="0" borderId="27" xfId="64" applyNumberFormat="1" applyFont="1" applyBorder="1" applyAlignment="1">
      <alignment horizontal="left" vertical="center" indent="3"/>
    </xf>
    <xf numFmtId="43" fontId="52" fillId="0" borderId="22" xfId="1" applyFont="1" applyFill="1" applyBorder="1"/>
    <xf numFmtId="43" fontId="52" fillId="0" borderId="22" xfId="3" applyFont="1" applyFill="1" applyBorder="1"/>
    <xf numFmtId="164" fontId="32" fillId="4" borderId="22" xfId="2" applyNumberFormat="1" applyFont="1" applyFill="1" applyBorder="1"/>
    <xf numFmtId="167" fontId="37" fillId="0" borderId="24" xfId="64" applyNumberFormat="1" applyFont="1" applyBorder="1" applyAlignment="1">
      <alignment horizontal="center" vertical="center"/>
    </xf>
    <xf numFmtId="167" fontId="38" fillId="0" borderId="22" xfId="64" applyNumberFormat="1" applyFont="1" applyBorder="1" applyAlignment="1">
      <alignment horizontal="center" vertical="center"/>
    </xf>
    <xf numFmtId="43" fontId="53" fillId="0" borderId="22" xfId="1" applyFont="1" applyFill="1" applyBorder="1"/>
    <xf numFmtId="43" fontId="38" fillId="4" borderId="22" xfId="1" applyFont="1" applyFill="1" applyBorder="1"/>
    <xf numFmtId="164" fontId="53" fillId="0" borderId="22" xfId="14" applyNumberFormat="1" applyFont="1" applyFill="1" applyBorder="1"/>
    <xf numFmtId="43" fontId="53" fillId="0" borderId="22" xfId="3" applyFont="1" applyFill="1" applyBorder="1"/>
    <xf numFmtId="164" fontId="38" fillId="4" borderId="22" xfId="2" applyNumberFormat="1" applyFont="1" applyFill="1" applyBorder="1"/>
    <xf numFmtId="164" fontId="30" fillId="4" borderId="22" xfId="2" applyNumberFormat="1" applyFont="1" applyFill="1" applyBorder="1"/>
    <xf numFmtId="43" fontId="39" fillId="0" borderId="0" xfId="3" applyFont="1" applyFill="1" applyAlignment="1">
      <alignment horizontal="center"/>
    </xf>
    <xf numFmtId="43" fontId="50" fillId="6" borderId="26" xfId="3" applyFont="1" applyFill="1" applyBorder="1"/>
    <xf numFmtId="167" fontId="40" fillId="0" borderId="27" xfId="62" applyNumberFormat="1" applyFont="1" applyBorder="1" applyAlignment="1">
      <alignment horizontal="center" vertical="center"/>
    </xf>
    <xf numFmtId="167" fontId="34" fillId="0" borderId="27" xfId="64" applyNumberFormat="1" applyFont="1" applyBorder="1" applyAlignment="1">
      <alignment horizontal="left" vertical="center" indent="3"/>
    </xf>
    <xf numFmtId="43" fontId="40" fillId="0" borderId="0" xfId="1" applyFont="1" applyFill="1" applyBorder="1"/>
    <xf numFmtId="43" fontId="40" fillId="4" borderId="26" xfId="1" applyFont="1" applyFill="1" applyBorder="1"/>
    <xf numFmtId="164" fontId="40" fillId="4" borderId="26" xfId="2" applyNumberFormat="1" applyFont="1" applyFill="1" applyBorder="1"/>
    <xf numFmtId="167" fontId="40" fillId="0" borderId="0" xfId="36" applyNumberFormat="1" applyFont="1"/>
    <xf numFmtId="164" fontId="52" fillId="0" borderId="22" xfId="14" applyNumberFormat="1" applyFont="1" applyFill="1" applyBorder="1"/>
    <xf numFmtId="43" fontId="9" fillId="0" borderId="0" xfId="1" applyFont="1" applyFill="1" applyBorder="1"/>
    <xf numFmtId="43" fontId="9" fillId="4" borderId="26" xfId="1" applyFont="1" applyFill="1" applyBorder="1"/>
    <xf numFmtId="164" fontId="9" fillId="4" borderId="26" xfId="2" applyNumberFormat="1" applyFont="1" applyFill="1" applyBorder="1"/>
    <xf numFmtId="167" fontId="9" fillId="0" borderId="0" xfId="36" applyNumberFormat="1" applyFont="1"/>
    <xf numFmtId="167" fontId="30" fillId="0" borderId="24" xfId="36" applyNumberFormat="1" applyFont="1" applyBorder="1" applyAlignment="1">
      <alignment horizontal="center"/>
    </xf>
    <xf numFmtId="43" fontId="34" fillId="0" borderId="22" xfId="2" applyFont="1" applyFill="1" applyBorder="1" applyAlignment="1">
      <alignment vertical="center"/>
    </xf>
    <xf numFmtId="167" fontId="37" fillId="0" borderId="23" xfId="36" applyNumberFormat="1" applyFont="1" applyBorder="1" applyAlignment="1">
      <alignment horizontal="center"/>
    </xf>
    <xf numFmtId="167" fontId="38" fillId="0" borderId="22" xfId="64" applyNumberFormat="1" applyFont="1" applyBorder="1" applyAlignment="1">
      <alignment vertical="center"/>
    </xf>
    <xf numFmtId="43" fontId="53" fillId="0" borderId="21" xfId="1" applyFont="1" applyFill="1" applyBorder="1"/>
    <xf numFmtId="43" fontId="38" fillId="4" borderId="21" xfId="1" applyFont="1" applyFill="1" applyBorder="1"/>
    <xf numFmtId="43" fontId="53" fillId="0" borderId="21" xfId="3" applyFont="1" applyFill="1" applyBorder="1"/>
    <xf numFmtId="164" fontId="38" fillId="4" borderId="21" xfId="2" applyNumberFormat="1" applyFont="1" applyFill="1" applyBorder="1"/>
    <xf numFmtId="164" fontId="30" fillId="0" borderId="0" xfId="2" applyNumberFormat="1" applyFont="1" applyFill="1" applyBorder="1"/>
    <xf numFmtId="167" fontId="41" fillId="0" borderId="0" xfId="36" applyNumberFormat="1" applyFont="1"/>
    <xf numFmtId="167" fontId="41" fillId="0" borderId="0" xfId="36" applyNumberFormat="1" applyFont="1" applyAlignment="1">
      <alignment horizontal="right"/>
    </xf>
    <xf numFmtId="43" fontId="41" fillId="0" borderId="0" xfId="1" applyFont="1" applyFill="1" applyBorder="1"/>
    <xf numFmtId="168" fontId="41" fillId="0" borderId="0" xfId="36" applyNumberFormat="1" applyFont="1"/>
    <xf numFmtId="43" fontId="54" fillId="0" borderId="0" xfId="1" applyFont="1" applyFill="1"/>
    <xf numFmtId="10" fontId="54" fillId="0" borderId="0" xfId="68" applyNumberFormat="1" applyFont="1" applyFill="1"/>
    <xf numFmtId="43" fontId="54" fillId="0" borderId="0" xfId="68" applyNumberFormat="1" applyFont="1" applyFill="1"/>
    <xf numFmtId="43" fontId="50" fillId="0" borderId="0" xfId="1" applyFont="1" applyFill="1" applyProtection="1">
      <protection locked="0"/>
    </xf>
    <xf numFmtId="164" fontId="50" fillId="0" borderId="0" xfId="21" applyNumberFormat="1" applyFont="1" applyFill="1" applyProtection="1">
      <protection locked="0"/>
    </xf>
    <xf numFmtId="43" fontId="55" fillId="0" borderId="0" xfId="1" applyFont="1" applyFill="1" applyBorder="1" applyAlignment="1">
      <alignment horizontal="center"/>
    </xf>
    <xf numFmtId="164" fontId="55" fillId="0" borderId="0" xfId="36" applyNumberFormat="1" applyFont="1" applyAlignment="1">
      <alignment horizontal="center"/>
    </xf>
    <xf numFmtId="164" fontId="30" fillId="0" borderId="0" xfId="1" applyNumberFormat="1" applyFont="1" applyFill="1" applyBorder="1"/>
    <xf numFmtId="167" fontId="30" fillId="0" borderId="0" xfId="2" applyNumberFormat="1" applyFont="1" applyFill="1" applyBorder="1"/>
    <xf numFmtId="0" fontId="6" fillId="0" borderId="0" xfId="0" applyFont="1" applyAlignment="1">
      <alignment vertical="center"/>
    </xf>
    <xf numFmtId="43" fontId="6" fillId="0" borderId="0" xfId="1" applyFont="1" applyAlignment="1">
      <alignment vertical="center"/>
    </xf>
    <xf numFmtId="0" fontId="6" fillId="2" borderId="0" xfId="54" applyFont="1" applyFill="1" applyAlignment="1" applyProtection="1">
      <alignment vertical="center"/>
      <protection hidden="1"/>
    </xf>
    <xf numFmtId="4" fontId="6" fillId="2" borderId="0" xfId="54" applyNumberFormat="1" applyFont="1" applyFill="1" applyAlignment="1" applyProtection="1">
      <alignment vertical="center"/>
      <protection hidden="1"/>
    </xf>
    <xf numFmtId="4" fontId="7" fillId="2" borderId="0" xfId="54" applyNumberFormat="1" applyFont="1" applyFill="1" applyAlignment="1" applyProtection="1">
      <alignment horizontal="center" vertical="center"/>
      <protection hidden="1"/>
    </xf>
    <xf numFmtId="0" fontId="7" fillId="2" borderId="0" xfId="54" applyFont="1" applyFill="1" applyAlignment="1">
      <alignment vertical="center"/>
    </xf>
    <xf numFmtId="0" fontId="6" fillId="2" borderId="0" xfId="54" applyFont="1" applyFill="1" applyAlignment="1">
      <alignment horizontal="right" vertical="center"/>
    </xf>
    <xf numFmtId="0" fontId="23" fillId="2" borderId="0" xfId="54" applyFont="1" applyFill="1" applyAlignment="1">
      <alignment vertical="center"/>
    </xf>
    <xf numFmtId="0" fontId="7" fillId="3" borderId="0" xfId="54" applyFont="1" applyFill="1" applyAlignment="1">
      <alignment horizontal="left" vertical="center"/>
    </xf>
    <xf numFmtId="0" fontId="24" fillId="3" borderId="0" xfId="54" applyFont="1" applyFill="1" applyAlignment="1">
      <alignment horizontal="center" vertical="center"/>
    </xf>
    <xf numFmtId="0" fontId="7" fillId="2" borderId="5" xfId="54" applyFont="1" applyFill="1" applyBorder="1" applyAlignment="1">
      <alignment vertical="center"/>
    </xf>
    <xf numFmtId="0" fontId="6" fillId="2" borderId="5" xfId="54" applyFont="1" applyFill="1" applyBorder="1" applyAlignment="1">
      <alignment horizontal="center" vertical="center"/>
    </xf>
    <xf numFmtId="0" fontId="6" fillId="2" borderId="6" xfId="54" applyFont="1" applyFill="1" applyBorder="1" applyAlignment="1">
      <alignment horizontal="left" vertical="center"/>
    </xf>
    <xf numFmtId="0" fontId="6" fillId="2" borderId="0" xfId="54" applyFont="1" applyFill="1" applyAlignment="1">
      <alignment horizontal="left" vertical="center"/>
    </xf>
    <xf numFmtId="0" fontId="6" fillId="3" borderId="0" xfId="54" applyFont="1" applyFill="1" applyAlignment="1">
      <alignment horizontal="center" vertical="center"/>
    </xf>
    <xf numFmtId="0" fontId="25" fillId="2" borderId="0" xfId="54" applyFont="1" applyFill="1" applyAlignment="1">
      <alignment vertical="center"/>
    </xf>
    <xf numFmtId="3" fontId="25" fillId="2" borderId="0" xfId="54" applyNumberFormat="1" applyFont="1" applyFill="1" applyAlignment="1">
      <alignment vertical="center"/>
    </xf>
    <xf numFmtId="0" fontId="6" fillId="2" borderId="5" xfId="54" applyFont="1" applyFill="1" applyBorder="1" applyAlignment="1">
      <alignment horizontal="left" vertical="center"/>
    </xf>
    <xf numFmtId="4" fontId="6" fillId="2" borderId="0" xfId="54" applyNumberFormat="1" applyFont="1" applyFill="1" applyAlignment="1">
      <alignment vertical="center"/>
    </xf>
    <xf numFmtId="43" fontId="6" fillId="2" borderId="0" xfId="1" applyFont="1" applyFill="1" applyAlignment="1" applyProtection="1">
      <alignment vertical="center"/>
    </xf>
    <xf numFmtId="43" fontId="6" fillId="0" borderId="0" xfId="0" applyNumberFormat="1" applyFont="1" applyAlignment="1">
      <alignment vertical="center"/>
    </xf>
    <xf numFmtId="43" fontId="22" fillId="2" borderId="0" xfId="1" applyFont="1" applyFill="1" applyAlignment="1" applyProtection="1">
      <alignment horizontal="left" vertical="center"/>
    </xf>
    <xf numFmtId="43" fontId="6" fillId="2" borderId="0" xfId="1" applyFont="1" applyFill="1" applyAlignment="1" applyProtection="1">
      <alignment horizontal="left" vertical="center"/>
    </xf>
    <xf numFmtId="0" fontId="22" fillId="2" borderId="0" xfId="54" applyFont="1" applyFill="1" applyAlignment="1">
      <alignment horizontal="left" vertical="center"/>
    </xf>
    <xf numFmtId="4" fontId="6" fillId="2" borderId="0" xfId="54" applyNumberFormat="1" applyFont="1" applyFill="1" applyAlignment="1">
      <alignment horizontal="center" vertical="center"/>
    </xf>
    <xf numFmtId="0" fontId="6" fillId="2" borderId="28" xfId="54" applyFont="1" applyFill="1" applyBorder="1" applyAlignment="1">
      <alignment horizontal="left" vertical="center"/>
    </xf>
    <xf numFmtId="0" fontId="7" fillId="3" borderId="11" xfId="54" applyFont="1" applyFill="1" applyBorder="1" applyAlignment="1">
      <alignment horizontal="left" vertical="center"/>
    </xf>
    <xf numFmtId="0" fontId="24" fillId="3" borderId="11" xfId="54" applyFont="1" applyFill="1" applyBorder="1" applyAlignment="1">
      <alignment horizontal="center" vertical="center"/>
    </xf>
    <xf numFmtId="0" fontId="6" fillId="2" borderId="1" xfId="54" applyFont="1" applyFill="1" applyBorder="1" applyAlignment="1">
      <alignment vertical="center" wrapText="1"/>
    </xf>
    <xf numFmtId="164" fontId="6" fillId="2" borderId="1" xfId="1" applyNumberFormat="1" applyFont="1" applyFill="1" applyBorder="1" applyAlignment="1" applyProtection="1">
      <alignment vertical="center"/>
    </xf>
    <xf numFmtId="164" fontId="6" fillId="2" borderId="0" xfId="1" applyNumberFormat="1" applyFont="1" applyFill="1" applyAlignment="1" applyProtection="1">
      <alignment vertical="center"/>
    </xf>
    <xf numFmtId="0" fontId="6" fillId="2" borderId="5" xfId="54" applyFont="1" applyFill="1" applyBorder="1" applyAlignment="1">
      <alignment horizontal="right" vertical="center"/>
    </xf>
    <xf numFmtId="43" fontId="9" fillId="0" borderId="0" xfId="1" applyFont="1" applyAlignment="1">
      <alignment vertical="center"/>
    </xf>
    <xf numFmtId="43" fontId="0" fillId="0" borderId="0" xfId="0" applyNumberFormat="1" applyAlignment="1">
      <alignment vertical="center"/>
    </xf>
    <xf numFmtId="0" fontId="0" fillId="0" borderId="0" xfId="0" applyAlignment="1">
      <alignment vertical="center"/>
    </xf>
    <xf numFmtId="0" fontId="6" fillId="2" borderId="7" xfId="54" applyFont="1" applyFill="1" applyBorder="1" applyAlignment="1">
      <alignment horizontal="left" vertical="center"/>
    </xf>
    <xf numFmtId="43" fontId="6" fillId="2" borderId="1" xfId="1" applyFont="1" applyFill="1" applyBorder="1" applyAlignment="1" applyProtection="1">
      <alignment vertical="center"/>
    </xf>
    <xf numFmtId="0" fontId="57" fillId="0" borderId="0" xfId="0" applyFont="1"/>
    <xf numFmtId="43" fontId="24" fillId="3" borderId="0" xfId="1" applyFont="1" applyFill="1" applyAlignment="1" applyProtection="1">
      <alignment horizontal="center" vertical="center"/>
    </xf>
    <xf numFmtId="0" fontId="7" fillId="2" borderId="1" xfId="54" applyFont="1" applyFill="1" applyBorder="1" applyAlignment="1">
      <alignment vertical="center" wrapText="1"/>
    </xf>
    <xf numFmtId="0" fontId="26" fillId="2" borderId="1" xfId="54" applyFont="1" applyFill="1" applyBorder="1" applyAlignment="1">
      <alignment vertical="center"/>
    </xf>
    <xf numFmtId="0" fontId="7" fillId="2" borderId="1" xfId="54" applyFont="1" applyFill="1" applyBorder="1" applyAlignment="1">
      <alignment vertical="center"/>
    </xf>
    <xf numFmtId="0" fontId="22" fillId="2" borderId="1" xfId="54" applyFont="1" applyFill="1" applyBorder="1" applyAlignment="1">
      <alignment vertical="center"/>
    </xf>
    <xf numFmtId="0" fontId="25" fillId="2" borderId="1" xfId="54" applyFont="1" applyFill="1" applyBorder="1" applyAlignment="1">
      <alignment vertical="center"/>
    </xf>
    <xf numFmtId="0" fontId="6" fillId="2" borderId="11" xfId="54" applyFont="1" applyFill="1" applyBorder="1" applyAlignment="1">
      <alignment horizontal="left" vertical="center"/>
    </xf>
    <xf numFmtId="43" fontId="6" fillId="2" borderId="0" xfId="1" applyFont="1" applyFill="1" applyBorder="1" applyAlignment="1" applyProtection="1">
      <alignment horizontal="left" vertical="center"/>
    </xf>
    <xf numFmtId="43" fontId="6" fillId="2" borderId="0" xfId="1" applyFont="1" applyFill="1" applyBorder="1" applyAlignment="1" applyProtection="1">
      <alignment vertical="center"/>
    </xf>
    <xf numFmtId="43" fontId="6" fillId="2" borderId="5" xfId="1" applyFont="1" applyFill="1" applyBorder="1" applyAlignment="1" applyProtection="1">
      <alignment horizontal="center" vertical="center"/>
    </xf>
    <xf numFmtId="43" fontId="24" fillId="2" borderId="0" xfId="1" applyFont="1" applyFill="1" applyAlignment="1" applyProtection="1">
      <alignment horizontal="center" vertical="center"/>
    </xf>
    <xf numFmtId="0" fontId="6" fillId="3" borderId="0" xfId="0" applyFont="1" applyFill="1" applyAlignment="1">
      <alignment vertical="center"/>
    </xf>
    <xf numFmtId="0" fontId="24" fillId="0" borderId="0" xfId="54" applyFont="1" applyAlignment="1">
      <alignment horizontal="center" vertical="center"/>
    </xf>
    <xf numFmtId="0" fontId="27" fillId="0" borderId="16" xfId="0" applyFont="1" applyBorder="1" applyAlignment="1">
      <alignment horizontal="left" vertical="center"/>
    </xf>
    <xf numFmtId="0" fontId="27" fillId="0" borderId="1" xfId="0" applyFont="1" applyBorder="1" applyAlignment="1">
      <alignment horizontal="left" vertical="center"/>
    </xf>
    <xf numFmtId="0" fontId="28" fillId="0" borderId="16" xfId="0" applyFont="1" applyBorder="1" applyAlignment="1">
      <alignment horizontal="left" vertical="center"/>
    </xf>
    <xf numFmtId="0" fontId="28" fillId="0" borderId="1" xfId="0" applyFont="1" applyBorder="1" applyAlignment="1">
      <alignment horizontal="left" vertical="center"/>
    </xf>
    <xf numFmtId="0" fontId="28" fillId="0" borderId="1" xfId="0" applyFont="1" applyBorder="1" applyAlignment="1">
      <alignment horizontal="left" vertical="center"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xf>
    <xf numFmtId="0" fontId="27" fillId="0" borderId="0" xfId="0" applyFont="1" applyAlignment="1">
      <alignment horizontal="left" vertical="center"/>
    </xf>
    <xf numFmtId="0" fontId="29" fillId="0" borderId="0" xfId="0" applyFont="1" applyAlignment="1">
      <alignment vertical="center"/>
    </xf>
    <xf numFmtId="0" fontId="28" fillId="0" borderId="0" xfId="0" applyFont="1" applyAlignment="1">
      <alignment vertical="center"/>
    </xf>
    <xf numFmtId="0" fontId="61" fillId="9" borderId="40" xfId="0" applyFont="1" applyFill="1" applyBorder="1" applyAlignment="1">
      <alignment horizontal="center" wrapText="1"/>
    </xf>
    <xf numFmtId="0" fontId="64" fillId="9" borderId="42" xfId="0" applyFont="1" applyFill="1" applyBorder="1" applyAlignment="1">
      <alignment horizontal="left" vertical="top" wrapText="1"/>
    </xf>
    <xf numFmtId="0" fontId="61" fillId="9" borderId="43" xfId="0" applyFont="1" applyFill="1" applyBorder="1" applyAlignment="1">
      <alignment horizontal="center" vertical="center" wrapText="1"/>
    </xf>
    <xf numFmtId="0" fontId="61" fillId="9" borderId="37" xfId="0" applyFont="1" applyFill="1" applyBorder="1" applyAlignment="1">
      <alignment horizontal="center" vertical="center" wrapText="1"/>
    </xf>
    <xf numFmtId="0" fontId="65" fillId="0" borderId="0" xfId="0" applyFont="1" applyAlignment="1">
      <alignment horizontal="center" vertical="center" wrapText="1"/>
    </xf>
    <xf numFmtId="22" fontId="65" fillId="0" borderId="0" xfId="0" applyNumberFormat="1" applyFont="1" applyAlignment="1">
      <alignment horizontal="center" vertical="center" wrapText="1"/>
    </xf>
    <xf numFmtId="4" fontId="66" fillId="0" borderId="0" xfId="0" applyNumberFormat="1" applyFont="1" applyAlignment="1">
      <alignment horizontal="right" vertical="center" wrapText="1"/>
    </xf>
    <xf numFmtId="0" fontId="61" fillId="0" borderId="44" xfId="0" applyFont="1" applyBorder="1" applyAlignment="1">
      <alignment horizontal="left" vertical="center" wrapText="1"/>
    </xf>
    <xf numFmtId="4" fontId="57" fillId="0" borderId="0" xfId="0" applyNumberFormat="1" applyFont="1"/>
    <xf numFmtId="43" fontId="0" fillId="0" borderId="0" xfId="0" applyNumberFormat="1"/>
    <xf numFmtId="43" fontId="6" fillId="2" borderId="1" xfId="1" applyFont="1" applyFill="1" applyBorder="1" applyAlignment="1" applyProtection="1"/>
    <xf numFmtId="43" fontId="7" fillId="2" borderId="1" xfId="1" applyFont="1" applyFill="1" applyBorder="1" applyAlignment="1" applyProtection="1"/>
    <xf numFmtId="0" fontId="69" fillId="0" borderId="0" xfId="0" applyFont="1"/>
    <xf numFmtId="43" fontId="69" fillId="0" borderId="0" xfId="1" applyFont="1"/>
    <xf numFmtId="0" fontId="57" fillId="0" borderId="0" xfId="0" applyFont="1" applyAlignment="1">
      <alignment horizontal="center" vertical="top"/>
    </xf>
    <xf numFmtId="0" fontId="57" fillId="0" borderId="0" xfId="0" applyFont="1" applyAlignment="1">
      <alignment vertical="top"/>
    </xf>
    <xf numFmtId="0" fontId="57" fillId="0" borderId="1" xfId="0" applyFont="1" applyBorder="1" applyAlignment="1">
      <alignment horizontal="center" vertical="center"/>
    </xf>
    <xf numFmtId="0" fontId="57" fillId="0" borderId="1" xfId="0" applyFont="1" applyBorder="1" applyAlignment="1">
      <alignment horizontal="left" vertical="top"/>
    </xf>
    <xf numFmtId="0" fontId="58" fillId="0" borderId="1" xfId="0" applyFont="1" applyBorder="1" applyAlignment="1">
      <alignment horizontal="left" vertical="top"/>
    </xf>
    <xf numFmtId="43" fontId="57" fillId="0" borderId="0" xfId="1" applyFont="1"/>
    <xf numFmtId="168" fontId="57" fillId="0" borderId="0" xfId="1" applyNumberFormat="1" applyFont="1" applyBorder="1" applyAlignment="1">
      <alignment vertical="top"/>
    </xf>
    <xf numFmtId="168" fontId="57" fillId="0" borderId="0" xfId="1" applyNumberFormat="1" applyFont="1"/>
    <xf numFmtId="168" fontId="57" fillId="0" borderId="0" xfId="1" applyNumberFormat="1" applyFont="1" applyAlignment="1">
      <alignment horizontal="right"/>
    </xf>
    <xf numFmtId="168" fontId="57" fillId="0" borderId="1" xfId="1" applyNumberFormat="1" applyFont="1" applyBorder="1" applyAlignment="1">
      <alignment horizontal="left" vertical="top"/>
    </xf>
    <xf numFmtId="168" fontId="58" fillId="0" borderId="1" xfId="1" applyNumberFormat="1" applyFont="1" applyBorder="1" applyAlignment="1">
      <alignment horizontal="left" vertical="top"/>
    </xf>
    <xf numFmtId="0" fontId="70" fillId="0" borderId="0" xfId="0" applyFont="1"/>
    <xf numFmtId="0" fontId="57" fillId="0" borderId="1" xfId="0" applyFont="1" applyBorder="1" applyAlignment="1">
      <alignment horizontal="center" vertical="center" wrapText="1"/>
    </xf>
    <xf numFmtId="0" fontId="57" fillId="0" borderId="0" xfId="0" applyFont="1" applyAlignment="1">
      <alignment horizontal="center" vertical="center" wrapText="1"/>
    </xf>
    <xf numFmtId="0" fontId="58" fillId="0" borderId="1" xfId="0" applyFont="1" applyBorder="1" applyAlignment="1">
      <alignment horizontal="center" vertical="top"/>
    </xf>
    <xf numFmtId="164" fontId="57" fillId="0" borderId="0" xfId="1" applyNumberFormat="1" applyFont="1" applyBorder="1" applyAlignment="1">
      <alignment horizontal="left" vertical="top"/>
    </xf>
    <xf numFmtId="0" fontId="57" fillId="0" borderId="1" xfId="0" applyFont="1" applyBorder="1" applyAlignment="1">
      <alignment horizontal="center" vertical="top"/>
    </xf>
    <xf numFmtId="0" fontId="57" fillId="0" borderId="1" xfId="0" applyFont="1" applyBorder="1" applyAlignment="1">
      <alignment horizontal="left" vertical="top" wrapText="1"/>
    </xf>
    <xf numFmtId="164" fontId="58" fillId="0" borderId="0" xfId="1" applyNumberFormat="1" applyFont="1" applyBorder="1" applyAlignment="1">
      <alignment horizontal="left" vertical="top"/>
    </xf>
    <xf numFmtId="0" fontId="58" fillId="0" borderId="0" xfId="0" applyFont="1"/>
    <xf numFmtId="0" fontId="57" fillId="0" borderId="1" xfId="0" applyFont="1" applyBorder="1" applyAlignment="1">
      <alignment horizontal="left" vertical="top" wrapText="1" indent="1"/>
    </xf>
    <xf numFmtId="0" fontId="58" fillId="0" borderId="1" xfId="0" applyFont="1" applyBorder="1" applyAlignment="1">
      <alignment horizontal="left" vertical="top" wrapText="1"/>
    </xf>
    <xf numFmtId="0" fontId="57" fillId="0" borderId="1" xfId="0" applyFont="1" applyBorder="1" applyAlignment="1">
      <alignment horizontal="left" vertical="top" wrapText="1" indent="2"/>
    </xf>
    <xf numFmtId="0" fontId="57" fillId="0" borderId="1" xfId="0" applyFont="1" applyBorder="1" applyAlignment="1">
      <alignment horizontal="left" vertical="top" indent="1"/>
    </xf>
    <xf numFmtId="168" fontId="57" fillId="0" borderId="0" xfId="1" applyNumberFormat="1" applyFont="1" applyBorder="1" applyAlignment="1">
      <alignment horizontal="right" vertical="top"/>
    </xf>
    <xf numFmtId="168" fontId="57" fillId="0" borderId="1" xfId="1" applyNumberFormat="1" applyFont="1" applyBorder="1" applyAlignment="1">
      <alignment horizontal="center" vertical="center" wrapText="1"/>
    </xf>
    <xf numFmtId="168" fontId="58" fillId="0" borderId="1" xfId="1" applyNumberFormat="1" applyFont="1" applyFill="1" applyBorder="1" applyAlignment="1">
      <alignment horizontal="left" vertical="top"/>
    </xf>
    <xf numFmtId="164" fontId="58" fillId="0" borderId="0" xfId="1" applyNumberFormat="1" applyFont="1" applyFill="1" applyBorder="1" applyAlignment="1">
      <alignment horizontal="left" vertical="top"/>
    </xf>
    <xf numFmtId="168" fontId="58" fillId="0" borderId="1" xfId="1" applyNumberFormat="1" applyFont="1" applyBorder="1"/>
    <xf numFmtId="0" fontId="58" fillId="0" borderId="1" xfId="0" applyFont="1" applyBorder="1" applyAlignment="1">
      <alignment horizontal="left" vertical="center" wrapText="1"/>
    </xf>
    <xf numFmtId="0" fontId="57" fillId="0" borderId="1" xfId="0" applyFont="1" applyBorder="1" applyAlignment="1">
      <alignment horizontal="left" vertical="center" wrapText="1"/>
    </xf>
    <xf numFmtId="168" fontId="57" fillId="0" borderId="1" xfId="1" applyNumberFormat="1" applyFont="1" applyBorder="1" applyAlignment="1">
      <alignment horizontal="left" vertical="top" wrapText="1"/>
    </xf>
    <xf numFmtId="168" fontId="57" fillId="0" borderId="0" xfId="1" applyNumberFormat="1" applyFont="1" applyBorder="1" applyAlignment="1">
      <alignment horizontal="center" vertical="top"/>
    </xf>
    <xf numFmtId="168" fontId="58" fillId="0" borderId="1" xfId="1" applyNumberFormat="1" applyFont="1" applyBorder="1" applyAlignment="1">
      <alignment horizontal="left" vertical="top" wrapText="1"/>
    </xf>
    <xf numFmtId="168" fontId="57" fillId="0" borderId="1" xfId="1" applyNumberFormat="1" applyFont="1" applyBorder="1" applyAlignment="1">
      <alignment horizontal="left" vertical="top" wrapText="1" indent="1"/>
    </xf>
    <xf numFmtId="168" fontId="57" fillId="0" borderId="1" xfId="1" applyNumberFormat="1" applyFont="1" applyBorder="1" applyAlignment="1">
      <alignment horizontal="left" vertical="top" wrapText="1" indent="2"/>
    </xf>
    <xf numFmtId="0" fontId="58" fillId="0" borderId="1" xfId="0" applyFont="1" applyBorder="1" applyAlignment="1">
      <alignment horizontal="center" vertical="center"/>
    </xf>
    <xf numFmtId="43" fontId="6" fillId="2" borderId="0" xfId="54" applyNumberFormat="1" applyFont="1" applyFill="1" applyAlignment="1">
      <alignment horizontal="left" vertical="center"/>
    </xf>
    <xf numFmtId="0" fontId="9" fillId="0" borderId="0" xfId="0" applyFont="1" applyAlignment="1">
      <alignment vertical="center"/>
    </xf>
    <xf numFmtId="43" fontId="9" fillId="0" borderId="0" xfId="0" applyNumberFormat="1" applyFont="1" applyAlignment="1">
      <alignment vertical="center"/>
    </xf>
    <xf numFmtId="0" fontId="67" fillId="0" borderId="44" xfId="0" applyFont="1" applyBorder="1" applyAlignment="1">
      <alignment horizontal="left" vertical="center" wrapText="1"/>
    </xf>
    <xf numFmtId="0" fontId="7" fillId="2" borderId="10" xfId="54" applyFont="1" applyFill="1" applyBorder="1" applyAlignment="1">
      <alignment horizontal="center" vertical="center"/>
    </xf>
    <xf numFmtId="0" fontId="25" fillId="2" borderId="0" xfId="54" applyFont="1" applyFill="1" applyAlignment="1">
      <alignment horizontal="left"/>
    </xf>
    <xf numFmtId="43" fontId="57" fillId="0" borderId="0" xfId="1" applyFont="1" applyFill="1" applyBorder="1" applyAlignment="1">
      <alignment horizontal="center" vertical="center"/>
    </xf>
    <xf numFmtId="0" fontId="74" fillId="2" borderId="0" xfId="54" applyFont="1" applyFill="1" applyAlignment="1">
      <alignment horizontal="center" vertical="center"/>
    </xf>
    <xf numFmtId="0" fontId="54" fillId="0" borderId="0" xfId="0" applyFont="1" applyAlignment="1">
      <alignment vertical="center"/>
    </xf>
    <xf numFmtId="43" fontId="54" fillId="0" borderId="0" xfId="1" applyFont="1" applyAlignment="1">
      <alignment vertical="center"/>
    </xf>
    <xf numFmtId="43" fontId="74" fillId="2" borderId="0" xfId="1" applyFont="1" applyFill="1" applyAlignment="1" applyProtection="1">
      <alignment horizontal="center" vertical="center"/>
    </xf>
    <xf numFmtId="43" fontId="6" fillId="2" borderId="0" xfId="54" applyNumberFormat="1" applyFont="1" applyFill="1" applyAlignment="1">
      <alignment horizontal="left"/>
    </xf>
    <xf numFmtId="168" fontId="6" fillId="2" borderId="0" xfId="1" applyNumberFormat="1" applyFont="1" applyFill="1" applyProtection="1"/>
    <xf numFmtId="168" fontId="24" fillId="3" borderId="0" xfId="1" applyNumberFormat="1" applyFont="1" applyFill="1" applyAlignment="1" applyProtection="1">
      <alignment horizontal="center"/>
    </xf>
    <xf numFmtId="0" fontId="6" fillId="2" borderId="1" xfId="54" applyFont="1" applyFill="1" applyBorder="1" applyAlignment="1">
      <alignment horizontal="right" vertical="center"/>
    </xf>
    <xf numFmtId="0" fontId="7" fillId="2" borderId="1" xfId="54" applyFont="1" applyFill="1" applyBorder="1" applyAlignment="1">
      <alignment horizontal="right" vertical="center"/>
    </xf>
    <xf numFmtId="0" fontId="7" fillId="2" borderId="0" xfId="54" applyFont="1" applyFill="1"/>
    <xf numFmtId="168" fontId="7" fillId="2" borderId="0" xfId="1" applyNumberFormat="1" applyFont="1" applyFill="1" applyBorder="1" applyAlignment="1" applyProtection="1">
      <alignment horizontal="center"/>
    </xf>
    <xf numFmtId="0" fontId="24" fillId="2" borderId="0" xfId="54" applyFont="1" applyFill="1" applyAlignment="1">
      <alignment horizontal="left"/>
    </xf>
    <xf numFmtId="168" fontId="24" fillId="2" borderId="0" xfId="1" applyNumberFormat="1" applyFont="1" applyFill="1" applyAlignment="1" applyProtection="1">
      <alignment horizontal="left"/>
    </xf>
    <xf numFmtId="0" fontId="6" fillId="2" borderId="12" xfId="54" applyFont="1" applyFill="1" applyBorder="1"/>
    <xf numFmtId="0" fontId="7" fillId="2" borderId="1" xfId="54" applyFont="1" applyFill="1" applyBorder="1"/>
    <xf numFmtId="0" fontId="6" fillId="2" borderId="1" xfId="54" applyFont="1" applyFill="1" applyBorder="1"/>
    <xf numFmtId="43" fontId="6" fillId="0" borderId="0" xfId="0" applyNumberFormat="1" applyFont="1"/>
    <xf numFmtId="168" fontId="7" fillId="2" borderId="1" xfId="1" applyNumberFormat="1" applyFont="1" applyFill="1" applyBorder="1" applyAlignment="1" applyProtection="1">
      <alignment horizontal="center" vertical="center"/>
    </xf>
    <xf numFmtId="0" fontId="75" fillId="2" borderId="1" xfId="54" applyFont="1" applyFill="1" applyBorder="1" applyAlignment="1">
      <alignment horizontal="right" vertical="center"/>
    </xf>
    <xf numFmtId="168" fontId="6" fillId="2" borderId="1" xfId="1" applyNumberFormat="1" applyFont="1" applyFill="1" applyBorder="1" applyAlignment="1" applyProtection="1">
      <alignment vertical="center"/>
    </xf>
    <xf numFmtId="168" fontId="7" fillId="2" borderId="1" xfId="1" applyNumberFormat="1" applyFont="1" applyFill="1" applyBorder="1" applyAlignment="1" applyProtection="1">
      <alignment vertical="center"/>
    </xf>
    <xf numFmtId="168" fontId="7" fillId="2" borderId="1" xfId="1" applyNumberFormat="1" applyFont="1" applyFill="1" applyBorder="1" applyAlignment="1" applyProtection="1">
      <alignment horizontal="right" vertical="center"/>
    </xf>
    <xf numFmtId="43" fontId="75" fillId="0" borderId="0" xfId="1" applyFont="1"/>
    <xf numFmtId="43" fontId="75" fillId="0" borderId="0" xfId="0" applyNumberFormat="1" applyFont="1"/>
    <xf numFmtId="168" fontId="6" fillId="2" borderId="0" xfId="1" applyNumberFormat="1" applyFont="1" applyFill="1" applyBorder="1" applyAlignment="1" applyProtection="1">
      <alignment vertical="center"/>
    </xf>
    <xf numFmtId="168" fontId="6" fillId="2" borderId="0" xfId="1" applyNumberFormat="1" applyFont="1" applyFill="1" applyBorder="1" applyAlignment="1" applyProtection="1">
      <alignment horizontal="center" vertical="center"/>
    </xf>
    <xf numFmtId="0" fontId="75" fillId="0" borderId="0" xfId="0" applyFont="1"/>
    <xf numFmtId="168" fontId="6" fillId="2" borderId="1" xfId="1" applyNumberFormat="1" applyFont="1" applyFill="1" applyBorder="1" applyAlignment="1" applyProtection="1"/>
    <xf numFmtId="168" fontId="6" fillId="2" borderId="1" xfId="1" applyNumberFormat="1" applyFont="1" applyFill="1" applyBorder="1" applyAlignment="1" applyProtection="1">
      <alignment horizontal="right" vertical="center"/>
    </xf>
    <xf numFmtId="168" fontId="6" fillId="0" borderId="1" xfId="1" applyNumberFormat="1" applyFont="1" applyBorder="1" applyAlignment="1">
      <alignment horizontal="right"/>
    </xf>
    <xf numFmtId="168" fontId="7" fillId="2" borderId="1" xfId="1" applyNumberFormat="1" applyFont="1" applyFill="1" applyBorder="1" applyAlignment="1" applyProtection="1"/>
    <xf numFmtId="168" fontId="7" fillId="2" borderId="0" xfId="1" applyNumberFormat="1" applyFont="1" applyFill="1" applyBorder="1" applyAlignment="1" applyProtection="1"/>
    <xf numFmtId="0" fontId="7" fillId="2" borderId="14" xfId="54" applyFont="1" applyFill="1" applyBorder="1" applyAlignment="1">
      <alignment horizontal="center" vertical="center" wrapText="1"/>
    </xf>
    <xf numFmtId="0" fontId="7" fillId="2" borderId="11" xfId="54" applyFont="1" applyFill="1" applyBorder="1" applyAlignment="1">
      <alignment horizontal="center" vertical="center" wrapText="1"/>
    </xf>
    <xf numFmtId="168" fontId="7" fillId="2" borderId="11" xfId="1" applyNumberFormat="1" applyFont="1" applyFill="1" applyBorder="1" applyAlignment="1" applyProtection="1">
      <alignment horizontal="center" vertical="center" wrapText="1"/>
    </xf>
    <xf numFmtId="168" fontId="7" fillId="2" borderId="15" xfId="1" applyNumberFormat="1" applyFont="1" applyFill="1" applyBorder="1" applyAlignment="1" applyProtection="1">
      <alignment horizontal="center" vertical="center" wrapText="1"/>
    </xf>
    <xf numFmtId="0" fontId="6" fillId="2" borderId="7" xfId="54" applyFont="1" applyFill="1" applyBorder="1" applyAlignment="1">
      <alignment horizontal="left"/>
    </xf>
    <xf numFmtId="0" fontId="6" fillId="2" borderId="8" xfId="54" applyFont="1" applyFill="1" applyBorder="1" applyAlignment="1">
      <alignment horizontal="left"/>
    </xf>
    <xf numFmtId="168" fontId="6" fillId="2" borderId="8" xfId="1" applyNumberFormat="1" applyFont="1" applyFill="1" applyBorder="1" applyAlignment="1" applyProtection="1">
      <alignment horizontal="left"/>
    </xf>
    <xf numFmtId="168" fontId="6" fillId="2" borderId="9" xfId="1" applyNumberFormat="1" applyFont="1" applyFill="1" applyBorder="1" applyAlignment="1" applyProtection="1">
      <alignment horizontal="left"/>
    </xf>
    <xf numFmtId="168" fontId="6" fillId="2" borderId="0" xfId="1" applyNumberFormat="1" applyFont="1" applyFill="1" applyAlignment="1" applyProtection="1">
      <alignment horizontal="left"/>
    </xf>
    <xf numFmtId="168" fontId="6" fillId="2" borderId="5" xfId="1" applyNumberFormat="1" applyFont="1" applyFill="1" applyBorder="1" applyAlignment="1" applyProtection="1">
      <alignment horizontal="center"/>
    </xf>
    <xf numFmtId="168" fontId="24" fillId="2" borderId="0" xfId="1" applyNumberFormat="1" applyFont="1" applyFill="1" applyBorder="1" applyAlignment="1" applyProtection="1">
      <alignment horizontal="center"/>
    </xf>
    <xf numFmtId="168" fontId="7" fillId="2" borderId="1" xfId="1" applyNumberFormat="1" applyFont="1" applyFill="1" applyBorder="1" applyAlignment="1" applyProtection="1">
      <alignment horizontal="center"/>
    </xf>
    <xf numFmtId="168" fontId="6" fillId="2" borderId="1" xfId="1" applyNumberFormat="1" applyFont="1" applyFill="1" applyBorder="1" applyAlignment="1" applyProtection="1">
      <alignment horizontal="left"/>
    </xf>
    <xf numFmtId="168" fontId="6" fillId="2" borderId="0" xfId="1" applyNumberFormat="1" applyFont="1" applyFill="1" applyBorder="1" applyAlignment="1" applyProtection="1">
      <alignment horizontal="left"/>
    </xf>
    <xf numFmtId="168" fontId="6" fillId="2" borderId="12" xfId="1" applyNumberFormat="1" applyFont="1" applyFill="1" applyBorder="1" applyProtection="1"/>
    <xf numFmtId="0" fontId="6" fillId="2" borderId="7" xfId="54" applyFont="1" applyFill="1" applyBorder="1" applyAlignment="1">
      <alignment horizontal="right" vertical="center"/>
    </xf>
    <xf numFmtId="168" fontId="6" fillId="0" borderId="0" xfId="1" applyNumberFormat="1" applyFont="1"/>
    <xf numFmtId="43" fontId="6" fillId="0" borderId="0" xfId="1" applyFont="1"/>
    <xf numFmtId="3" fontId="7" fillId="2" borderId="0" xfId="54" applyNumberFormat="1" applyFont="1" applyFill="1" applyAlignment="1">
      <alignment horizontal="center"/>
    </xf>
    <xf numFmtId="165" fontId="6" fillId="2" borderId="0" xfId="54" applyNumberFormat="1" applyFont="1" applyFill="1"/>
    <xf numFmtId="0" fontId="7" fillId="2" borderId="15" xfId="54" applyFont="1" applyFill="1" applyBorder="1" applyAlignment="1">
      <alignment horizontal="center" vertical="center" wrapText="1"/>
    </xf>
    <xf numFmtId="0" fontId="6" fillId="2" borderId="9" xfId="54" applyFont="1" applyFill="1" applyBorder="1" applyAlignment="1">
      <alignment horizontal="left"/>
    </xf>
    <xf numFmtId="3" fontId="6" fillId="2" borderId="1" xfId="54" applyNumberFormat="1" applyFont="1" applyFill="1" applyBorder="1" applyAlignment="1">
      <alignment horizontal="left"/>
    </xf>
    <xf numFmtId="3" fontId="6" fillId="2" borderId="0" xfId="54" applyNumberFormat="1" applyFont="1" applyFill="1" applyAlignment="1">
      <alignment horizontal="left"/>
    </xf>
    <xf numFmtId="169" fontId="59" fillId="0" borderId="0" xfId="65" applyNumberFormat="1" applyFont="1" applyFill="1" applyBorder="1" applyAlignment="1" applyProtection="1">
      <alignment vertical="center"/>
      <protection locked="0"/>
    </xf>
    <xf numFmtId="167" fontId="59" fillId="0" borderId="0" xfId="46" applyNumberFormat="1" applyFont="1" applyAlignment="1" applyProtection="1">
      <alignment vertical="center"/>
      <protection locked="0"/>
    </xf>
    <xf numFmtId="164" fontId="59" fillId="0" borderId="0" xfId="2" applyNumberFormat="1" applyFont="1" applyFill="1" applyAlignment="1" applyProtection="1">
      <alignment vertical="center"/>
      <protection locked="0"/>
    </xf>
    <xf numFmtId="164" fontId="79" fillId="0" borderId="0" xfId="2" applyNumberFormat="1" applyFont="1" applyFill="1" applyAlignment="1" applyProtection="1">
      <alignment vertical="center"/>
      <protection locked="0"/>
    </xf>
    <xf numFmtId="168" fontId="6" fillId="0" borderId="0" xfId="0" applyNumberFormat="1" applyFont="1"/>
    <xf numFmtId="0" fontId="67" fillId="9" borderId="40" xfId="0" applyFont="1" applyFill="1" applyBorder="1" applyAlignment="1">
      <alignment horizontal="center" wrapText="1"/>
    </xf>
    <xf numFmtId="0" fontId="67" fillId="9" borderId="43" xfId="0" applyFont="1" applyFill="1" applyBorder="1" applyAlignment="1">
      <alignment horizontal="center" vertical="center" wrapText="1"/>
    </xf>
    <xf numFmtId="43" fontId="57" fillId="0" borderId="0" xfId="1" applyFont="1" applyFill="1" applyBorder="1" applyAlignment="1">
      <alignment horizontal="left" vertical="center" wrapText="1"/>
    </xf>
    <xf numFmtId="0" fontId="71" fillId="3" borderId="0" xfId="54" applyFont="1" applyFill="1" applyAlignment="1">
      <alignment horizontal="left" vertical="center"/>
    </xf>
    <xf numFmtId="0" fontId="82" fillId="3" borderId="0" xfId="54" applyFont="1" applyFill="1" applyAlignment="1">
      <alignment horizontal="center" vertical="center"/>
    </xf>
    <xf numFmtId="43" fontId="82" fillId="3" borderId="0" xfId="1" applyFont="1" applyFill="1" applyAlignment="1" applyProtection="1">
      <alignment horizontal="center" vertical="center"/>
    </xf>
    <xf numFmtId="43" fontId="34" fillId="0" borderId="0" xfId="1" applyFont="1" applyAlignment="1">
      <alignment vertical="center"/>
    </xf>
    <xf numFmtId="0" fontId="42" fillId="0" borderId="0" xfId="0" applyFont="1" applyAlignment="1">
      <alignment vertical="center"/>
    </xf>
    <xf numFmtId="43" fontId="34" fillId="0" borderId="0" xfId="0" applyNumberFormat="1" applyFont="1" applyAlignment="1">
      <alignment vertical="center"/>
    </xf>
    <xf numFmtId="0" fontId="83" fillId="0" borderId="0" xfId="0" applyFont="1" applyAlignment="1">
      <alignment vertical="center"/>
    </xf>
    <xf numFmtId="43" fontId="83" fillId="0" borderId="0" xfId="1" applyFont="1" applyAlignment="1">
      <alignment vertical="center"/>
    </xf>
    <xf numFmtId="0" fontId="83" fillId="0" borderId="15" xfId="0" applyFont="1" applyBorder="1" applyAlignment="1">
      <alignment vertical="center"/>
    </xf>
    <xf numFmtId="43" fontId="83" fillId="0" borderId="57" xfId="1" applyFont="1" applyBorder="1" applyAlignment="1">
      <alignment vertical="center"/>
    </xf>
    <xf numFmtId="43" fontId="83" fillId="0" borderId="36" xfId="1" applyFont="1" applyBorder="1" applyAlignment="1">
      <alignment vertical="center"/>
    </xf>
    <xf numFmtId="43" fontId="7" fillId="2" borderId="0" xfId="1" applyFont="1" applyFill="1" applyAlignment="1" applyProtection="1">
      <alignment vertical="center"/>
    </xf>
    <xf numFmtId="43" fontId="6" fillId="2" borderId="0" xfId="54" applyNumberFormat="1" applyFont="1" applyFill="1"/>
    <xf numFmtId="49" fontId="79" fillId="0" borderId="37" xfId="0" applyNumberFormat="1" applyFont="1" applyBorder="1" applyAlignment="1">
      <alignment horizontal="left" vertical="center" wrapText="1"/>
    </xf>
    <xf numFmtId="49" fontId="79" fillId="0" borderId="38" xfId="0" applyNumberFormat="1" applyFont="1" applyBorder="1" applyAlignment="1">
      <alignment horizontal="left" vertical="center" wrapText="1"/>
    </xf>
    <xf numFmtId="49" fontId="79" fillId="0" borderId="39" xfId="0" applyNumberFormat="1" applyFont="1" applyBorder="1" applyAlignment="1">
      <alignment horizontal="left" vertical="center" wrapText="1"/>
    </xf>
    <xf numFmtId="49" fontId="79" fillId="11" borderId="39" xfId="0" applyNumberFormat="1" applyFont="1" applyFill="1" applyBorder="1" applyAlignment="1">
      <alignment horizontal="left" vertical="center" wrapText="1"/>
    </xf>
    <xf numFmtId="0" fontId="22" fillId="8" borderId="0" xfId="54" applyFont="1" applyFill="1" applyAlignment="1">
      <alignment horizontal="center" vertical="center"/>
    </xf>
    <xf numFmtId="0" fontId="22" fillId="8" borderId="0" xfId="54" applyFont="1" applyFill="1" applyAlignment="1">
      <alignment horizontal="left" vertical="center"/>
    </xf>
    <xf numFmtId="169" fontId="59" fillId="10" borderId="0" xfId="65" applyNumberFormat="1" applyFont="1" applyFill="1" applyBorder="1" applyAlignment="1" applyProtection="1">
      <alignment vertical="center"/>
      <protection locked="0"/>
    </xf>
    <xf numFmtId="0" fontId="57" fillId="0" borderId="0" xfId="0" applyFont="1" applyAlignment="1">
      <alignment vertical="center"/>
    </xf>
    <xf numFmtId="0" fontId="70" fillId="0" borderId="0" xfId="0" applyFont="1" applyAlignment="1">
      <alignment vertical="center"/>
    </xf>
    <xf numFmtId="0" fontId="57" fillId="0" borderId="0" xfId="0" applyFont="1" applyAlignment="1">
      <alignment horizontal="right" vertical="center"/>
    </xf>
    <xf numFmtId="0" fontId="58" fillId="0" borderId="0" xfId="0" applyFont="1" applyAlignment="1">
      <alignment vertical="center"/>
    </xf>
    <xf numFmtId="43" fontId="57" fillId="0" borderId="0" xfId="1" applyFont="1" applyFill="1" applyAlignment="1">
      <alignment vertical="center"/>
    </xf>
    <xf numFmtId="43" fontId="58" fillId="0" borderId="0" xfId="1" applyFont="1" applyFill="1" applyAlignment="1">
      <alignment vertical="center"/>
    </xf>
    <xf numFmtId="43" fontId="57" fillId="0" borderId="0" xfId="0" applyNumberFormat="1" applyFont="1" applyAlignment="1">
      <alignment vertical="center"/>
    </xf>
    <xf numFmtId="43" fontId="7" fillId="2" borderId="0" xfId="1" applyFont="1" applyFill="1" applyBorder="1" applyAlignment="1" applyProtection="1">
      <alignment horizontal="center" vertical="center"/>
    </xf>
    <xf numFmtId="43" fontId="7" fillId="2" borderId="0" xfId="1" applyFont="1" applyFill="1" applyBorder="1" applyAlignment="1" applyProtection="1">
      <alignment vertical="center"/>
    </xf>
    <xf numFmtId="167" fontId="9" fillId="0" borderId="0" xfId="0" applyNumberFormat="1" applyFont="1"/>
    <xf numFmtId="168" fontId="9" fillId="0" borderId="0" xfId="1" applyNumberFormat="1" applyFont="1"/>
    <xf numFmtId="43" fontId="9" fillId="0" borderId="0" xfId="1" applyFont="1"/>
    <xf numFmtId="164" fontId="57" fillId="0" borderId="0" xfId="1" applyNumberFormat="1" applyFont="1" applyFill="1" applyBorder="1" applyAlignment="1">
      <alignment horizontal="center" vertical="center"/>
    </xf>
    <xf numFmtId="164" fontId="57" fillId="0" borderId="0" xfId="0" applyNumberFormat="1" applyFont="1" applyAlignment="1">
      <alignment vertical="center"/>
    </xf>
    <xf numFmtId="43" fontId="57" fillId="0" borderId="0" xfId="0" applyNumberFormat="1" applyFont="1"/>
    <xf numFmtId="43" fontId="7" fillId="2" borderId="7" xfId="1" applyFont="1" applyFill="1" applyBorder="1" applyAlignment="1" applyProtection="1">
      <alignment horizontal="center" vertical="center" wrapText="1"/>
    </xf>
    <xf numFmtId="43" fontId="6" fillId="2" borderId="1" xfId="1" applyFont="1" applyFill="1" applyBorder="1" applyAlignment="1" applyProtection="1">
      <alignment horizontal="right" vertical="center"/>
    </xf>
    <xf numFmtId="49" fontId="56" fillId="0" borderId="45" xfId="0" applyNumberFormat="1" applyFont="1" applyBorder="1" applyAlignment="1">
      <alignment horizontal="left" vertical="top" wrapText="1"/>
    </xf>
    <xf numFmtId="0" fontId="71" fillId="2" borderId="1" xfId="54" applyFont="1" applyFill="1" applyBorder="1" applyAlignment="1">
      <alignment horizontal="center" vertical="center"/>
    </xf>
    <xf numFmtId="168" fontId="7" fillId="2" borderId="1" xfId="1" applyNumberFormat="1" applyFont="1" applyFill="1" applyBorder="1" applyAlignment="1" applyProtection="1">
      <alignment horizontal="center" vertical="center" wrapText="1"/>
    </xf>
    <xf numFmtId="168" fontId="6" fillId="2" borderId="1" xfId="1" applyNumberFormat="1" applyFont="1" applyFill="1" applyBorder="1" applyAlignment="1" applyProtection="1">
      <alignment horizontal="center" vertical="center"/>
    </xf>
    <xf numFmtId="0" fontId="67" fillId="9" borderId="37" xfId="0" applyFont="1" applyFill="1" applyBorder="1" applyAlignment="1">
      <alignment horizontal="center" vertical="center" wrapText="1"/>
    </xf>
    <xf numFmtId="43" fontId="6" fillId="2" borderId="0" xfId="1" applyFont="1" applyFill="1" applyAlignment="1" applyProtection="1">
      <alignment vertical="center"/>
      <protection hidden="1"/>
    </xf>
    <xf numFmtId="43" fontId="7" fillId="2" borderId="0" xfId="1" applyFont="1" applyFill="1" applyAlignment="1" applyProtection="1">
      <alignment horizontal="center" vertical="center"/>
      <protection hidden="1"/>
    </xf>
    <xf numFmtId="43" fontId="6" fillId="2" borderId="0" xfId="1" applyFont="1" applyFill="1" applyBorder="1" applyAlignment="1" applyProtection="1">
      <alignment horizontal="center" vertical="center"/>
      <protection hidden="1"/>
    </xf>
    <xf numFmtId="43" fontId="23" fillId="2" borderId="0" xfId="1" applyFont="1" applyFill="1" applyBorder="1" applyAlignment="1" applyProtection="1">
      <alignment vertical="center"/>
    </xf>
    <xf numFmtId="43" fontId="6" fillId="2" borderId="6" xfId="1" applyFont="1" applyFill="1" applyBorder="1" applyAlignment="1" applyProtection="1">
      <alignment horizontal="left" vertical="center"/>
    </xf>
    <xf numFmtId="43" fontId="24" fillId="3" borderId="0" xfId="1" applyFont="1" applyFill="1" applyBorder="1" applyAlignment="1" applyProtection="1">
      <alignment horizontal="center" vertical="center"/>
    </xf>
    <xf numFmtId="43" fontId="6" fillId="3" borderId="0" xfId="1" applyFont="1" applyFill="1" applyBorder="1" applyAlignment="1" applyProtection="1">
      <alignment horizontal="center" vertical="center"/>
    </xf>
    <xf numFmtId="43" fontId="25" fillId="2" borderId="0" xfId="1" applyFont="1" applyFill="1" applyBorder="1" applyAlignment="1" applyProtection="1">
      <alignment vertical="center"/>
    </xf>
    <xf numFmtId="43" fontId="7" fillId="2" borderId="0" xfId="1" applyFont="1" applyFill="1" applyBorder="1" applyAlignment="1" applyProtection="1">
      <alignment vertical="center" wrapText="1"/>
    </xf>
    <xf numFmtId="43" fontId="75" fillId="2" borderId="0" xfId="1" applyFont="1" applyFill="1" applyAlignment="1" applyProtection="1">
      <alignment vertical="center"/>
    </xf>
    <xf numFmtId="43" fontId="6" fillId="8" borderId="0" xfId="1" applyFont="1" applyFill="1" applyAlignment="1" applyProtection="1">
      <alignment horizontal="left" vertical="center"/>
    </xf>
    <xf numFmtId="43" fontId="6" fillId="2" borderId="28" xfId="1" applyFont="1" applyFill="1" applyBorder="1" applyAlignment="1" applyProtection="1">
      <alignment horizontal="left" vertical="center"/>
    </xf>
    <xf numFmtId="43" fontId="24" fillId="3" borderId="11" xfId="1" applyFont="1" applyFill="1" applyBorder="1" applyAlignment="1" applyProtection="1">
      <alignment horizontal="center" vertical="center"/>
    </xf>
    <xf numFmtId="43" fontId="6" fillId="2" borderId="7" xfId="1" applyFont="1" applyFill="1" applyBorder="1" applyAlignment="1" applyProtection="1">
      <alignment vertical="center"/>
    </xf>
    <xf numFmtId="43" fontId="24" fillId="2" borderId="0" xfId="1" applyFont="1" applyFill="1" applyAlignment="1" applyProtection="1">
      <alignment horizontal="center" vertical="center" wrapText="1"/>
    </xf>
    <xf numFmtId="164" fontId="6" fillId="0" borderId="0" xfId="1" applyNumberFormat="1" applyFont="1" applyAlignment="1">
      <alignment vertical="center"/>
    </xf>
    <xf numFmtId="164" fontId="54" fillId="0" borderId="0" xfId="1" applyNumberFormat="1" applyFont="1" applyAlignment="1">
      <alignment vertical="center"/>
    </xf>
    <xf numFmtId="0" fontId="87" fillId="0" borderId="45" xfId="0" applyFont="1" applyBorder="1" applyAlignment="1">
      <alignment horizontal="center" vertical="center" wrapText="1"/>
    </xf>
    <xf numFmtId="0" fontId="5" fillId="7" borderId="22" xfId="72" applyFont="1" applyFill="1" applyBorder="1" applyAlignment="1">
      <alignment horizontal="center" vertical="center"/>
    </xf>
    <xf numFmtId="0" fontId="5" fillId="7" borderId="22" xfId="72" applyFont="1" applyFill="1" applyBorder="1"/>
    <xf numFmtId="164" fontId="13" fillId="0" borderId="22" xfId="74" applyNumberFormat="1" applyFont="1" applyFill="1" applyBorder="1"/>
    <xf numFmtId="0" fontId="88" fillId="0" borderId="0" xfId="72" applyFont="1"/>
    <xf numFmtId="164" fontId="3" fillId="0" borderId="22" xfId="74" applyNumberFormat="1" applyFont="1" applyFill="1" applyBorder="1" applyProtection="1">
      <protection locked="0"/>
    </xf>
    <xf numFmtId="0" fontId="5" fillId="7" borderId="22" xfId="75" applyFont="1" applyFill="1" applyBorder="1"/>
    <xf numFmtId="0" fontId="5" fillId="7" borderId="22" xfId="76" applyFont="1" applyFill="1" applyBorder="1" applyAlignment="1">
      <alignment horizontal="left"/>
    </xf>
    <xf numFmtId="164" fontId="13" fillId="0" borderId="0" xfId="74" applyNumberFormat="1" applyFont="1" applyFill="1"/>
    <xf numFmtId="164" fontId="5" fillId="14" borderId="22" xfId="72" applyNumberFormat="1" applyFont="1" applyFill="1" applyBorder="1" applyAlignment="1">
      <alignment horizontal="center"/>
    </xf>
    <xf numFmtId="164" fontId="5" fillId="14" borderId="0" xfId="72" applyNumberFormat="1" applyFont="1" applyFill="1"/>
    <xf numFmtId="0" fontId="75" fillId="0" borderId="0" xfId="0" applyFont="1" applyAlignment="1">
      <alignment vertical="center"/>
    </xf>
    <xf numFmtId="43" fontId="75" fillId="0" borderId="0" xfId="1" applyFont="1" applyAlignment="1">
      <alignment vertical="center"/>
    </xf>
    <xf numFmtId="0" fontId="54" fillId="0" borderId="0" xfId="0" applyFont="1" applyAlignment="1">
      <alignment horizontal="center" vertical="center"/>
    </xf>
    <xf numFmtId="164" fontId="74" fillId="8" borderId="0" xfId="0" applyNumberFormat="1" applyFont="1" applyFill="1" applyAlignment="1">
      <alignment vertical="center"/>
    </xf>
    <xf numFmtId="164" fontId="75" fillId="0" borderId="0" xfId="0" applyNumberFormat="1" applyFont="1" applyAlignment="1">
      <alignment vertical="center"/>
    </xf>
    <xf numFmtId="164" fontId="54" fillId="0" borderId="0" xfId="0" applyNumberFormat="1" applyFont="1" applyAlignment="1">
      <alignment vertical="center"/>
    </xf>
    <xf numFmtId="164" fontId="75" fillId="0" borderId="0" xfId="1" applyNumberFormat="1" applyFont="1" applyAlignment="1">
      <alignment vertical="center"/>
    </xf>
    <xf numFmtId="0" fontId="71" fillId="2" borderId="1" xfId="54" applyFont="1" applyFill="1" applyBorder="1" applyAlignment="1">
      <alignment horizontal="center" vertical="center" wrapText="1"/>
    </xf>
    <xf numFmtId="43" fontId="71" fillId="2" borderId="1" xfId="1" applyFont="1" applyFill="1" applyBorder="1" applyAlignment="1" applyProtection="1">
      <alignment horizontal="center" vertical="center" wrapText="1"/>
    </xf>
    <xf numFmtId="0" fontId="71" fillId="2" borderId="1" xfId="54" applyFont="1" applyFill="1" applyBorder="1" applyAlignment="1">
      <alignment vertical="center" wrapText="1"/>
    </xf>
    <xf numFmtId="43" fontId="75" fillId="2" borderId="1" xfId="1" applyFont="1" applyFill="1" applyBorder="1" applyAlignment="1" applyProtection="1">
      <alignment vertical="center"/>
    </xf>
    <xf numFmtId="43" fontId="71" fillId="2" borderId="1" xfId="1" applyFont="1" applyFill="1" applyBorder="1" applyAlignment="1" applyProtection="1">
      <alignment vertical="center"/>
    </xf>
    <xf numFmtId="0" fontId="75" fillId="2" borderId="1" xfId="54" applyFont="1" applyFill="1" applyBorder="1" applyAlignment="1">
      <alignment horizontal="center" vertical="center"/>
    </xf>
    <xf numFmtId="0" fontId="75" fillId="2" borderId="1" xfId="54" applyFont="1" applyFill="1" applyBorder="1" applyAlignment="1">
      <alignment vertical="center"/>
    </xf>
    <xf numFmtId="164" fontId="71" fillId="2" borderId="1" xfId="1" applyNumberFormat="1" applyFont="1" applyFill="1" applyBorder="1" applyAlignment="1" applyProtection="1">
      <alignment vertical="center"/>
    </xf>
    <xf numFmtId="0" fontId="90" fillId="2" borderId="1" xfId="54" applyFont="1" applyFill="1" applyBorder="1" applyAlignment="1">
      <alignment vertical="center"/>
    </xf>
    <xf numFmtId="164" fontId="75" fillId="2" borderId="1" xfId="1" applyNumberFormat="1" applyFont="1" applyFill="1" applyBorder="1" applyAlignment="1" applyProtection="1">
      <alignment vertical="center"/>
    </xf>
    <xf numFmtId="0" fontId="75" fillId="2" borderId="1" xfId="54" applyFont="1" applyFill="1" applyBorder="1" applyAlignment="1">
      <alignment vertical="center" wrapText="1"/>
    </xf>
    <xf numFmtId="0" fontId="71" fillId="2" borderId="1" xfId="54" applyFont="1" applyFill="1" applyBorder="1" applyAlignment="1">
      <alignment vertical="center"/>
    </xf>
    <xf numFmtId="164" fontId="75" fillId="2" borderId="0" xfId="1" applyNumberFormat="1" applyFont="1" applyFill="1" applyAlignment="1" applyProtection="1">
      <alignment horizontal="center" vertical="center"/>
    </xf>
    <xf numFmtId="164" fontId="75" fillId="2" borderId="0" xfId="1" applyNumberFormat="1" applyFont="1" applyFill="1" applyAlignment="1" applyProtection="1">
      <alignment vertical="center"/>
    </xf>
    <xf numFmtId="0" fontId="75" fillId="2" borderId="0" xfId="54" applyFont="1" applyFill="1" applyAlignment="1">
      <alignment horizontal="center" vertical="center"/>
    </xf>
    <xf numFmtId="0" fontId="75" fillId="2" borderId="0" xfId="54" applyFont="1" applyFill="1" applyAlignment="1">
      <alignment vertical="center"/>
    </xf>
    <xf numFmtId="0" fontId="71" fillId="0" borderId="1" xfId="0" applyFont="1" applyBorder="1" applyAlignment="1">
      <alignment horizontal="center" vertical="center"/>
    </xf>
    <xf numFmtId="0" fontId="75" fillId="0" borderId="1" xfId="0" applyFont="1" applyBorder="1" applyAlignment="1">
      <alignment horizontal="center" vertical="center"/>
    </xf>
    <xf numFmtId="0" fontId="91" fillId="2" borderId="1" xfId="54" applyFont="1" applyFill="1" applyBorder="1" applyAlignment="1">
      <alignment vertical="center"/>
    </xf>
    <xf numFmtId="0" fontId="92" fillId="2" borderId="1" xfId="54" applyFont="1" applyFill="1" applyBorder="1" applyAlignment="1">
      <alignment vertical="center"/>
    </xf>
    <xf numFmtId="0" fontId="75" fillId="2" borderId="1" xfId="54" applyFont="1" applyFill="1" applyBorder="1" applyAlignment="1">
      <alignment horizontal="center" vertical="center" wrapText="1"/>
    </xf>
    <xf numFmtId="0" fontId="71" fillId="2" borderId="7" xfId="54" applyFont="1" applyFill="1" applyBorder="1" applyAlignment="1">
      <alignment horizontal="center" vertical="center" wrapText="1"/>
    </xf>
    <xf numFmtId="43" fontId="71" fillId="2" borderId="8" xfId="1" applyFont="1" applyFill="1" applyBorder="1" applyAlignment="1" applyProtection="1">
      <alignment horizontal="center" vertical="center" wrapText="1"/>
    </xf>
    <xf numFmtId="43" fontId="75" fillId="2" borderId="1" xfId="1" applyFont="1" applyFill="1" applyBorder="1" applyAlignment="1" applyProtection="1">
      <alignment horizontal="center" vertical="center"/>
    </xf>
    <xf numFmtId="43" fontId="75" fillId="2" borderId="8" xfId="1" applyFont="1" applyFill="1" applyBorder="1" applyAlignment="1" applyProtection="1">
      <alignment horizontal="right" vertical="center"/>
    </xf>
    <xf numFmtId="43" fontId="71" fillId="2" borderId="10" xfId="1" applyFont="1" applyFill="1" applyBorder="1" applyAlignment="1" applyProtection="1">
      <alignment horizontal="center" vertical="center"/>
    </xf>
    <xf numFmtId="43" fontId="71" fillId="2" borderId="8" xfId="1" applyFont="1" applyFill="1" applyBorder="1" applyAlignment="1" applyProtection="1">
      <alignment horizontal="right" vertical="center"/>
    </xf>
    <xf numFmtId="0" fontId="75" fillId="2" borderId="11" xfId="54" applyFont="1" applyFill="1" applyBorder="1" applyAlignment="1">
      <alignment horizontal="center" vertical="center"/>
    </xf>
    <xf numFmtId="0" fontId="75" fillId="2" borderId="11" xfId="54" applyFont="1" applyFill="1" applyBorder="1" applyAlignment="1">
      <alignment horizontal="left" vertical="center"/>
    </xf>
    <xf numFmtId="43" fontId="75" fillId="2" borderId="11" xfId="1" applyFont="1" applyFill="1" applyBorder="1" applyAlignment="1" applyProtection="1">
      <alignment horizontal="left" vertical="center"/>
    </xf>
    <xf numFmtId="43" fontId="75" fillId="2" borderId="11" xfId="1" applyFont="1" applyFill="1" applyBorder="1" applyAlignment="1" applyProtection="1">
      <alignment horizontal="center" vertical="center"/>
    </xf>
    <xf numFmtId="43" fontId="75" fillId="2" borderId="0" xfId="1" applyFont="1" applyFill="1" applyBorder="1" applyAlignment="1" applyProtection="1">
      <alignment horizontal="center" vertical="center"/>
    </xf>
    <xf numFmtId="0" fontId="75" fillId="2" borderId="0" xfId="54" applyFont="1" applyFill="1" applyAlignment="1">
      <alignment horizontal="left" vertical="center"/>
    </xf>
    <xf numFmtId="43" fontId="75" fillId="2" borderId="0" xfId="1" applyFont="1" applyFill="1" applyBorder="1" applyAlignment="1" applyProtection="1">
      <alignment horizontal="left" vertical="center"/>
    </xf>
    <xf numFmtId="43" fontId="71" fillId="2" borderId="0" xfId="1" applyFont="1" applyFill="1" applyBorder="1" applyAlignment="1" applyProtection="1">
      <alignment horizontal="center" vertical="center"/>
    </xf>
    <xf numFmtId="43" fontId="71" fillId="2" borderId="1" xfId="1" applyFont="1" applyFill="1" applyBorder="1" applyAlignment="1" applyProtection="1">
      <alignment horizontal="center" vertical="center"/>
    </xf>
    <xf numFmtId="43" fontId="75" fillId="2" borderId="0" xfId="1" applyFont="1" applyFill="1" applyBorder="1" applyAlignment="1" applyProtection="1">
      <alignment vertical="center"/>
    </xf>
    <xf numFmtId="43" fontId="71" fillId="2" borderId="0" xfId="1" applyFont="1" applyFill="1" applyBorder="1" applyAlignment="1" applyProtection="1">
      <alignment vertical="center"/>
    </xf>
    <xf numFmtId="0" fontId="75" fillId="2" borderId="12" xfId="54" applyFont="1" applyFill="1" applyBorder="1" applyAlignment="1">
      <alignment horizontal="center" vertical="center"/>
    </xf>
    <xf numFmtId="43" fontId="75" fillId="2" borderId="12" xfId="1" applyFont="1" applyFill="1" applyBorder="1" applyAlignment="1" applyProtection="1">
      <alignment horizontal="center" vertical="center"/>
    </xf>
    <xf numFmtId="43" fontId="71" fillId="2" borderId="0" xfId="1" applyFont="1" applyFill="1" applyBorder="1" applyAlignment="1" applyProtection="1">
      <alignment horizontal="center" vertical="center" wrapText="1"/>
    </xf>
    <xf numFmtId="0" fontId="75" fillId="2" borderId="5" xfId="54" applyFont="1" applyFill="1" applyBorder="1" applyAlignment="1">
      <alignment horizontal="center" vertical="center"/>
    </xf>
    <xf numFmtId="43" fontId="75" fillId="2" borderId="5" xfId="1" applyFont="1" applyFill="1" applyBorder="1" applyAlignment="1" applyProtection="1">
      <alignment horizontal="center" vertical="center"/>
    </xf>
    <xf numFmtId="0" fontId="82" fillId="2" borderId="0" xfId="54" applyFont="1" applyFill="1" applyAlignment="1">
      <alignment horizontal="center" vertical="center"/>
    </xf>
    <xf numFmtId="43" fontId="82" fillId="2" borderId="0" xfId="1" applyFont="1" applyFill="1" applyAlignment="1" applyProtection="1">
      <alignment horizontal="center" vertical="center"/>
    </xf>
    <xf numFmtId="0" fontId="75" fillId="2" borderId="7" xfId="54" applyFont="1" applyFill="1" applyBorder="1" applyAlignment="1">
      <alignment horizontal="left" vertical="center"/>
    </xf>
    <xf numFmtId="43" fontId="75" fillId="2" borderId="8" xfId="1" applyFont="1" applyFill="1" applyBorder="1" applyAlignment="1" applyProtection="1">
      <alignment horizontal="left" vertical="center"/>
    </xf>
    <xf numFmtId="43" fontId="75" fillId="2" borderId="9" xfId="1" applyFont="1" applyFill="1" applyBorder="1" applyAlignment="1" applyProtection="1">
      <alignment horizontal="left" vertical="center"/>
    </xf>
    <xf numFmtId="43" fontId="75" fillId="2" borderId="18" xfId="1" applyFont="1" applyFill="1" applyBorder="1" applyAlignment="1" applyProtection="1">
      <alignment horizontal="center" vertical="center"/>
    </xf>
    <xf numFmtId="43" fontId="75" fillId="2" borderId="19" xfId="1" applyFont="1" applyFill="1" applyBorder="1" applyAlignment="1" applyProtection="1">
      <alignment horizontal="center" vertical="center"/>
    </xf>
    <xf numFmtId="43" fontId="71" fillId="2" borderId="0" xfId="1" applyFont="1" applyFill="1" applyBorder="1" applyAlignment="1" applyProtection="1">
      <alignment horizontal="right" vertical="center"/>
    </xf>
    <xf numFmtId="43" fontId="75" fillId="0" borderId="0" xfId="0" applyNumberFormat="1" applyFont="1" applyAlignment="1">
      <alignment vertical="center"/>
    </xf>
    <xf numFmtId="168" fontId="75" fillId="2" borderId="1" xfId="1" applyNumberFormat="1" applyFont="1" applyFill="1" applyBorder="1" applyAlignment="1" applyProtection="1">
      <alignment vertical="center"/>
    </xf>
    <xf numFmtId="168" fontId="71" fillId="2" borderId="1" xfId="1" applyNumberFormat="1" applyFont="1" applyFill="1" applyBorder="1" applyAlignment="1" applyProtection="1">
      <alignment vertical="center"/>
    </xf>
    <xf numFmtId="168" fontId="75" fillId="0" borderId="1" xfId="1" applyNumberFormat="1" applyFont="1" applyBorder="1" applyAlignment="1"/>
    <xf numFmtId="168" fontId="75" fillId="0" borderId="1" xfId="1" applyNumberFormat="1" applyFont="1" applyFill="1" applyBorder="1" applyAlignment="1" applyProtection="1">
      <alignment horizontal="right" vertical="center" wrapText="1"/>
    </xf>
    <xf numFmtId="168" fontId="71" fillId="0" borderId="1" xfId="1" applyNumberFormat="1" applyFont="1" applyFill="1" applyBorder="1" applyAlignment="1" applyProtection="1">
      <alignment vertical="center"/>
    </xf>
    <xf numFmtId="168" fontId="75" fillId="0" borderId="1" xfId="1" applyNumberFormat="1" applyFont="1" applyBorder="1" applyAlignment="1">
      <alignment vertical="center"/>
    </xf>
    <xf numFmtId="168" fontId="75" fillId="0" borderId="1" xfId="1" applyNumberFormat="1" applyFont="1" applyFill="1" applyBorder="1" applyAlignment="1" applyProtection="1">
      <alignment vertical="center"/>
    </xf>
    <xf numFmtId="168" fontId="75" fillId="2" borderId="0" xfId="1" applyNumberFormat="1" applyFont="1" applyFill="1" applyAlignment="1" applyProtection="1">
      <alignment vertical="center"/>
    </xf>
    <xf numFmtId="168" fontId="75" fillId="0" borderId="0" xfId="1" applyNumberFormat="1" applyFont="1" applyAlignment="1">
      <alignment vertical="center"/>
    </xf>
    <xf numFmtId="168" fontId="71" fillId="6" borderId="1" xfId="1" applyNumberFormat="1" applyFont="1" applyFill="1" applyBorder="1" applyAlignment="1" applyProtection="1">
      <alignment vertical="center"/>
    </xf>
    <xf numFmtId="168" fontId="54" fillId="0" borderId="0" xfId="1" applyNumberFormat="1" applyFont="1" applyAlignment="1">
      <alignment vertical="center"/>
    </xf>
    <xf numFmtId="168" fontId="6" fillId="2" borderId="0" xfId="1" applyNumberFormat="1" applyFont="1" applyFill="1" applyAlignment="1" applyProtection="1">
      <alignment vertical="center"/>
    </xf>
    <xf numFmtId="168" fontId="9" fillId="0" borderId="0" xfId="1" applyNumberFormat="1" applyFont="1" applyAlignment="1">
      <alignment vertical="center"/>
    </xf>
    <xf numFmtId="168" fontId="24" fillId="3" borderId="0" xfId="1" applyNumberFormat="1" applyFont="1" applyFill="1" applyAlignment="1" applyProtection="1">
      <alignment horizontal="center" vertical="center"/>
    </xf>
    <xf numFmtId="168" fontId="82" fillId="3" borderId="0" xfId="1" applyNumberFormat="1" applyFont="1" applyFill="1" applyAlignment="1" applyProtection="1">
      <alignment horizontal="center" vertical="center"/>
    </xf>
    <xf numFmtId="168" fontId="7" fillId="0" borderId="1" xfId="1" applyNumberFormat="1" applyFont="1" applyFill="1" applyBorder="1" applyAlignment="1" applyProtection="1">
      <alignment vertical="center"/>
    </xf>
    <xf numFmtId="168" fontId="7" fillId="2" borderId="8" xfId="1" applyNumberFormat="1" applyFont="1" applyFill="1" applyBorder="1" applyAlignment="1" applyProtection="1">
      <alignment horizontal="center" vertical="center" wrapText="1"/>
    </xf>
    <xf numFmtId="168" fontId="7" fillId="2" borderId="10" xfId="1" applyNumberFormat="1" applyFont="1" applyFill="1" applyBorder="1" applyAlignment="1" applyProtection="1">
      <alignment horizontal="center" vertical="center"/>
    </xf>
    <xf numFmtId="168" fontId="6" fillId="2" borderId="11" xfId="1" applyNumberFormat="1" applyFont="1" applyFill="1" applyBorder="1" applyAlignment="1" applyProtection="1">
      <alignment horizontal="left" vertical="center"/>
    </xf>
    <xf numFmtId="168" fontId="6" fillId="2" borderId="11" xfId="1" applyNumberFormat="1" applyFont="1" applyFill="1" applyBorder="1" applyAlignment="1" applyProtection="1">
      <alignment horizontal="center" vertical="center"/>
    </xf>
    <xf numFmtId="168" fontId="6" fillId="2" borderId="0" xfId="1" applyNumberFormat="1" applyFont="1" applyFill="1" applyBorder="1" applyAlignment="1" applyProtection="1">
      <alignment horizontal="left" vertical="center"/>
    </xf>
    <xf numFmtId="168" fontId="6" fillId="2" borderId="12" xfId="1" applyNumberFormat="1" applyFont="1" applyFill="1" applyBorder="1" applyAlignment="1" applyProtection="1">
      <alignment horizontal="center" vertical="center"/>
    </xf>
    <xf numFmtId="168" fontId="6" fillId="2" borderId="5" xfId="1" applyNumberFormat="1" applyFont="1" applyFill="1" applyBorder="1" applyAlignment="1" applyProtection="1">
      <alignment horizontal="center" vertical="center"/>
    </xf>
    <xf numFmtId="168" fontId="24" fillId="2" borderId="0" xfId="1" applyNumberFormat="1" applyFont="1" applyFill="1" applyAlignment="1" applyProtection="1">
      <alignment horizontal="center" vertical="center"/>
    </xf>
    <xf numFmtId="168" fontId="6" fillId="2" borderId="8" xfId="1" applyNumberFormat="1" applyFont="1" applyFill="1" applyBorder="1" applyAlignment="1" applyProtection="1">
      <alignment horizontal="left" vertical="center"/>
    </xf>
    <xf numFmtId="168" fontId="6" fillId="2" borderId="9" xfId="1" applyNumberFormat="1" applyFont="1" applyFill="1" applyBorder="1" applyAlignment="1" applyProtection="1">
      <alignment horizontal="left" vertical="center"/>
    </xf>
    <xf numFmtId="168" fontId="6" fillId="2" borderId="18" xfId="1" applyNumberFormat="1" applyFont="1" applyFill="1" applyBorder="1" applyAlignment="1" applyProtection="1">
      <alignment horizontal="center" vertical="center"/>
    </xf>
    <xf numFmtId="168" fontId="6" fillId="2" borderId="19" xfId="1" applyNumberFormat="1" applyFont="1" applyFill="1" applyBorder="1" applyAlignment="1" applyProtection="1">
      <alignment horizontal="center" vertical="center"/>
    </xf>
    <xf numFmtId="168" fontId="0" fillId="0" borderId="0" xfId="1" applyNumberFormat="1" applyFont="1" applyAlignment="1">
      <alignment vertical="center"/>
    </xf>
    <xf numFmtId="168" fontId="67" fillId="0" borderId="48" xfId="1" applyNumberFormat="1" applyFont="1" applyBorder="1" applyAlignment="1">
      <alignment horizontal="center" wrapText="1"/>
    </xf>
    <xf numFmtId="168" fontId="67" fillId="0" borderId="49" xfId="1" applyNumberFormat="1" applyFont="1" applyBorder="1" applyAlignment="1">
      <alignment horizontal="center" wrapText="1"/>
    </xf>
    <xf numFmtId="168" fontId="67" fillId="0" borderId="50" xfId="1" applyNumberFormat="1" applyFont="1" applyBorder="1" applyAlignment="1">
      <alignment horizontal="center" wrapText="1"/>
    </xf>
    <xf numFmtId="168" fontId="67" fillId="0" borderId="51" xfId="1" applyNumberFormat="1" applyFont="1" applyBorder="1" applyAlignment="1">
      <alignment wrapText="1"/>
    </xf>
    <xf numFmtId="168" fontId="67" fillId="0" borderId="0" xfId="1" applyNumberFormat="1" applyFont="1" applyAlignment="1">
      <alignment horizontal="center" wrapText="1"/>
    </xf>
    <xf numFmtId="168" fontId="83" fillId="0" borderId="0" xfId="1" applyNumberFormat="1" applyFont="1" applyAlignment="1">
      <alignment wrapText="1"/>
    </xf>
    <xf numFmtId="168" fontId="67" fillId="0" borderId="52" xfId="1" applyNumberFormat="1" applyFont="1" applyBorder="1" applyAlignment="1">
      <alignment horizontal="center" wrapText="1"/>
    </xf>
    <xf numFmtId="168" fontId="83" fillId="0" borderId="0" xfId="1" applyNumberFormat="1" applyFont="1" applyAlignment="1">
      <alignment vertical="center"/>
    </xf>
    <xf numFmtId="168" fontId="67" fillId="13" borderId="0" xfId="1" applyNumberFormat="1" applyFont="1" applyFill="1" applyAlignment="1">
      <alignment horizontal="center" wrapText="1"/>
    </xf>
    <xf numFmtId="168" fontId="67" fillId="13" borderId="52" xfId="1" applyNumberFormat="1" applyFont="1" applyFill="1" applyBorder="1" applyAlignment="1">
      <alignment horizontal="center" wrapText="1"/>
    </xf>
    <xf numFmtId="168" fontId="83" fillId="2" borderId="1" xfId="1" applyNumberFormat="1" applyFont="1" applyFill="1" applyBorder="1" applyAlignment="1" applyProtection="1">
      <alignment vertical="center"/>
    </xf>
    <xf numFmtId="168" fontId="67" fillId="0" borderId="53" xfId="1" applyNumberFormat="1" applyFont="1" applyBorder="1" applyAlignment="1">
      <alignment wrapText="1"/>
    </xf>
    <xf numFmtId="168" fontId="67" fillId="0" borderId="54" xfId="1" applyNumberFormat="1" applyFont="1" applyBorder="1" applyAlignment="1">
      <alignment horizontal="center" wrapText="1"/>
    </xf>
    <xf numFmtId="168" fontId="67" fillId="0" borderId="55" xfId="1" applyNumberFormat="1" applyFont="1" applyBorder="1" applyAlignment="1">
      <alignment horizontal="center" wrapText="1"/>
    </xf>
    <xf numFmtId="168" fontId="84" fillId="0" borderId="0" xfId="1" applyNumberFormat="1" applyFont="1"/>
    <xf numFmtId="168" fontId="83" fillId="0" borderId="0" xfId="1" applyNumberFormat="1" applyFont="1"/>
    <xf numFmtId="168" fontId="67" fillId="0" borderId="14" xfId="1" applyNumberFormat="1" applyFont="1" applyBorder="1" applyAlignment="1">
      <alignment horizontal="center" wrapText="1"/>
    </xf>
    <xf numFmtId="168" fontId="67" fillId="0" borderId="11" xfId="1" applyNumberFormat="1" applyFont="1" applyBorder="1" applyAlignment="1">
      <alignment horizontal="center" wrapText="1"/>
    </xf>
    <xf numFmtId="168" fontId="67" fillId="0" borderId="56" xfId="1" applyNumberFormat="1" applyFont="1" applyBorder="1" applyAlignment="1">
      <alignment wrapText="1"/>
    </xf>
    <xf numFmtId="168" fontId="83" fillId="0" borderId="0" xfId="1" applyNumberFormat="1" applyFont="1" applyBorder="1" applyAlignment="1">
      <alignment vertical="center"/>
    </xf>
    <xf numFmtId="168" fontId="67" fillId="0" borderId="58" xfId="1" applyNumberFormat="1" applyFont="1" applyBorder="1" applyAlignment="1">
      <alignment wrapText="1"/>
    </xf>
    <xf numFmtId="168" fontId="83" fillId="0" borderId="12" xfId="1" applyNumberFormat="1" applyFont="1" applyBorder="1" applyAlignment="1">
      <alignment vertical="center"/>
    </xf>
    <xf numFmtId="168" fontId="83" fillId="0" borderId="14" xfId="1" applyNumberFormat="1" applyFont="1" applyBorder="1" applyAlignment="1">
      <alignment vertical="center"/>
    </xf>
    <xf numFmtId="168" fontId="83" fillId="0" borderId="15" xfId="1" applyNumberFormat="1" applyFont="1" applyBorder="1" applyAlignment="1">
      <alignment vertical="center"/>
    </xf>
    <xf numFmtId="168" fontId="83" fillId="0" borderId="56" xfId="1" applyNumberFormat="1" applyFont="1" applyBorder="1" applyAlignment="1">
      <alignment vertical="center"/>
    </xf>
    <xf numFmtId="168" fontId="83" fillId="0" borderId="57" xfId="1" applyNumberFormat="1" applyFont="1" applyBorder="1" applyAlignment="1">
      <alignment vertical="center"/>
    </xf>
    <xf numFmtId="168" fontId="83" fillId="0" borderId="58" xfId="1" applyNumberFormat="1" applyFont="1" applyBorder="1" applyAlignment="1">
      <alignment vertical="center"/>
    </xf>
    <xf numFmtId="168" fontId="83" fillId="0" borderId="36" xfId="1" applyNumberFormat="1" applyFont="1" applyBorder="1" applyAlignment="1">
      <alignment vertical="center"/>
    </xf>
    <xf numFmtId="0" fontId="85" fillId="0" borderId="0" xfId="0" applyFont="1"/>
    <xf numFmtId="0" fontId="67" fillId="9" borderId="42" xfId="0" applyFont="1" applyFill="1" applyBorder="1" applyAlignment="1">
      <alignment horizontal="left" vertical="top" wrapText="1"/>
    </xf>
    <xf numFmtId="0" fontId="67" fillId="0" borderId="0" xfId="0" applyFont="1" applyAlignment="1">
      <alignment horizontal="center" vertical="center" wrapText="1"/>
    </xf>
    <xf numFmtId="22" fontId="67" fillId="0" borderId="0" xfId="0" applyNumberFormat="1" applyFont="1" applyAlignment="1">
      <alignment horizontal="center" vertical="center" wrapText="1"/>
    </xf>
    <xf numFmtId="4" fontId="72" fillId="0" borderId="0" xfId="0" applyNumberFormat="1" applyFont="1" applyAlignment="1">
      <alignment horizontal="right" vertical="center" wrapText="1"/>
    </xf>
    <xf numFmtId="43" fontId="85" fillId="0" borderId="0" xfId="1" applyFont="1"/>
    <xf numFmtId="0" fontId="5" fillId="7" borderId="22" xfId="72" applyFont="1" applyFill="1" applyBorder="1" applyAlignment="1">
      <alignment vertical="center"/>
    </xf>
    <xf numFmtId="164" fontId="0" fillId="0" borderId="0" xfId="0" applyNumberFormat="1"/>
    <xf numFmtId="0" fontId="59" fillId="0" borderId="0" xfId="46" applyFont="1" applyAlignment="1" applyProtection="1">
      <alignment vertical="center"/>
      <protection locked="0"/>
    </xf>
    <xf numFmtId="167" fontId="93" fillId="0" borderId="0" xfId="48" applyNumberFormat="1" applyFont="1" applyAlignment="1">
      <alignment vertical="center"/>
    </xf>
    <xf numFmtId="43" fontId="93" fillId="0" borderId="0" xfId="73" applyFont="1" applyFill="1" applyBorder="1" applyAlignment="1" applyProtection="1">
      <alignment vertical="center"/>
      <protection locked="0"/>
    </xf>
    <xf numFmtId="43" fontId="94" fillId="0" borderId="0" xfId="73" applyFont="1" applyFill="1" applyBorder="1" applyAlignment="1" applyProtection="1">
      <alignment horizontal="right" vertical="center"/>
      <protection locked="0"/>
    </xf>
    <xf numFmtId="164" fontId="95" fillId="0" borderId="0" xfId="73" applyNumberFormat="1" applyFont="1" applyFill="1" applyBorder="1" applyAlignment="1" applyProtection="1">
      <alignment horizontal="right" vertical="center"/>
      <protection locked="0"/>
    </xf>
    <xf numFmtId="164" fontId="59" fillId="0" borderId="0" xfId="73" applyNumberFormat="1" applyFont="1" applyFill="1" applyAlignment="1" applyProtection="1">
      <alignment vertical="center"/>
      <protection locked="0"/>
    </xf>
    <xf numFmtId="0" fontId="57" fillId="0" borderId="0" xfId="46" applyFont="1" applyAlignment="1" applyProtection="1">
      <alignment vertical="center"/>
      <protection locked="0"/>
    </xf>
    <xf numFmtId="0" fontId="77" fillId="0" borderId="0" xfId="46" applyFont="1" applyAlignment="1" applyProtection="1">
      <alignment vertical="center"/>
      <protection locked="0"/>
    </xf>
    <xf numFmtId="0" fontId="96" fillId="0" borderId="0" xfId="46" applyFont="1" applyAlignment="1">
      <alignment vertical="center"/>
    </xf>
    <xf numFmtId="43" fontId="96" fillId="0" borderId="0" xfId="73" applyFont="1" applyAlignment="1" applyProtection="1">
      <alignment vertical="center"/>
      <protection locked="0"/>
    </xf>
    <xf numFmtId="43" fontId="96" fillId="0" borderId="0" xfId="73" applyFont="1" applyFill="1" applyAlignment="1" applyProtection="1">
      <alignment vertical="center"/>
      <protection locked="0"/>
    </xf>
    <xf numFmtId="164" fontId="77" fillId="0" borderId="0" xfId="73" applyNumberFormat="1" applyFont="1" applyFill="1" applyAlignment="1" applyProtection="1">
      <alignment vertical="center"/>
      <protection locked="0"/>
    </xf>
    <xf numFmtId="164" fontId="77" fillId="0" borderId="0" xfId="73" applyNumberFormat="1" applyFont="1" applyAlignment="1" applyProtection="1">
      <alignment vertical="center"/>
      <protection locked="0"/>
    </xf>
    <xf numFmtId="0" fontId="96" fillId="0" borderId="0" xfId="46" applyFont="1" applyAlignment="1" applyProtection="1">
      <alignment vertical="center"/>
      <protection locked="0"/>
    </xf>
    <xf numFmtId="167" fontId="94" fillId="0" borderId="0" xfId="48" applyNumberFormat="1" applyFont="1" applyAlignment="1">
      <alignment vertical="center"/>
    </xf>
    <xf numFmtId="43" fontId="70" fillId="0" borderId="0" xfId="73" applyFont="1" applyFill="1" applyAlignment="1" applyProtection="1">
      <alignment vertical="center"/>
      <protection locked="0"/>
    </xf>
    <xf numFmtId="170" fontId="76" fillId="0" borderId="0" xfId="73" applyNumberFormat="1" applyFont="1" applyFill="1" applyBorder="1" applyAlignment="1" applyProtection="1">
      <alignment vertical="center"/>
      <protection locked="0"/>
    </xf>
    <xf numFmtId="43" fontId="94" fillId="0" borderId="0" xfId="73" applyFont="1" applyFill="1" applyBorder="1" applyAlignment="1" applyProtection="1">
      <alignment vertical="center"/>
      <protection locked="0"/>
    </xf>
    <xf numFmtId="9" fontId="95" fillId="0" borderId="0" xfId="65" applyFont="1" applyFill="1" applyBorder="1" applyAlignment="1" applyProtection="1">
      <alignment vertical="center"/>
      <protection locked="0"/>
    </xf>
    <xf numFmtId="43" fontId="95" fillId="0" borderId="0" xfId="73" applyFont="1" applyFill="1" applyBorder="1" applyAlignment="1" applyProtection="1">
      <alignment vertical="center"/>
      <protection locked="0"/>
    </xf>
    <xf numFmtId="164" fontId="95" fillId="0" borderId="0" xfId="73" applyNumberFormat="1" applyFont="1" applyFill="1" applyBorder="1" applyAlignment="1" applyProtection="1">
      <alignment vertical="center"/>
      <protection locked="0"/>
    </xf>
    <xf numFmtId="167" fontId="76" fillId="0" borderId="0" xfId="51" applyFont="1" applyAlignment="1">
      <alignment horizontal="left" vertical="center"/>
    </xf>
    <xf numFmtId="170" fontId="59" fillId="0" borderId="0" xfId="73" applyNumberFormat="1" applyFont="1" applyFill="1" applyBorder="1" applyAlignment="1" applyProtection="1">
      <alignment horizontal="center" vertical="center"/>
      <protection locked="0"/>
    </xf>
    <xf numFmtId="43" fontId="59" fillId="0" borderId="0" xfId="73" applyFont="1" applyFill="1" applyBorder="1" applyAlignment="1" applyProtection="1">
      <alignment horizontal="center" vertical="center"/>
      <protection locked="0"/>
    </xf>
    <xf numFmtId="164" fontId="59" fillId="0" borderId="0" xfId="73" applyNumberFormat="1" applyFont="1" applyFill="1" applyBorder="1" applyAlignment="1" applyProtection="1">
      <alignment horizontal="center" vertical="center"/>
      <protection locked="0"/>
    </xf>
    <xf numFmtId="43" fontId="95" fillId="0" borderId="0" xfId="73" applyFont="1" applyFill="1" applyBorder="1" applyAlignment="1" applyProtection="1">
      <alignment horizontal="center" vertical="center"/>
      <protection locked="0"/>
    </xf>
    <xf numFmtId="43" fontId="95" fillId="0" borderId="0" xfId="73" applyFont="1" applyFill="1" applyBorder="1" applyAlignment="1" applyProtection="1">
      <alignment horizontal="left" vertical="center"/>
      <protection locked="0"/>
    </xf>
    <xf numFmtId="164" fontId="95" fillId="0" borderId="0" xfId="73" applyNumberFormat="1" applyFont="1" applyFill="1" applyBorder="1" applyAlignment="1" applyProtection="1">
      <alignment horizontal="left" vertical="center"/>
      <protection locked="0"/>
    </xf>
    <xf numFmtId="43" fontId="76" fillId="0" borderId="0" xfId="73" applyFont="1" applyFill="1" applyBorder="1" applyAlignment="1" applyProtection="1">
      <alignment horizontal="left" vertical="center"/>
      <protection locked="0"/>
    </xf>
    <xf numFmtId="167" fontId="57" fillId="0" borderId="0" xfId="46" applyNumberFormat="1" applyFont="1" applyAlignment="1" applyProtection="1">
      <alignment vertical="center"/>
      <protection locked="0"/>
    </xf>
    <xf numFmtId="0" fontId="57" fillId="0" borderId="0" xfId="46" applyFont="1" applyAlignment="1">
      <alignment vertical="center"/>
    </xf>
    <xf numFmtId="43" fontId="60" fillId="0" borderId="0" xfId="73" applyFont="1" applyFill="1" applyBorder="1" applyAlignment="1" applyProtection="1">
      <alignment vertical="center"/>
      <protection locked="0"/>
    </xf>
    <xf numFmtId="0" fontId="58" fillId="0" borderId="0" xfId="46" applyFont="1" applyAlignment="1" applyProtection="1">
      <alignment vertical="center"/>
      <protection locked="0"/>
    </xf>
    <xf numFmtId="43" fontId="60" fillId="0" borderId="22" xfId="73" applyFont="1" applyFill="1" applyBorder="1" applyAlignment="1" applyProtection="1">
      <alignment horizontal="center" vertical="center"/>
      <protection locked="0"/>
    </xf>
    <xf numFmtId="43" fontId="60" fillId="3" borderId="22" xfId="73" applyFont="1" applyFill="1" applyBorder="1" applyAlignment="1" applyProtection="1">
      <alignment vertical="center"/>
      <protection locked="0"/>
    </xf>
    <xf numFmtId="43" fontId="60" fillId="4" borderId="30" xfId="73" applyFont="1" applyFill="1" applyBorder="1" applyAlignment="1" applyProtection="1">
      <alignment vertical="center"/>
      <protection locked="0"/>
    </xf>
    <xf numFmtId="164" fontId="59" fillId="0" borderId="0" xfId="73" applyNumberFormat="1" applyFont="1" applyFill="1" applyBorder="1" applyAlignment="1" applyProtection="1">
      <alignment vertical="center"/>
      <protection locked="0"/>
    </xf>
    <xf numFmtId="0" fontId="60" fillId="0" borderId="0" xfId="46" applyFont="1" applyAlignment="1" applyProtection="1">
      <alignment vertical="center"/>
      <protection locked="0"/>
    </xf>
    <xf numFmtId="43" fontId="60" fillId="0" borderId="64" xfId="5" applyFont="1" applyFill="1" applyBorder="1" applyAlignment="1" applyProtection="1">
      <alignment vertical="center"/>
    </xf>
    <xf numFmtId="43" fontId="60" fillId="0" borderId="22" xfId="73" applyFont="1" applyFill="1" applyBorder="1" applyAlignment="1" applyProtection="1">
      <alignment vertical="center"/>
      <protection locked="0"/>
    </xf>
    <xf numFmtId="43" fontId="59" fillId="0" borderId="0" xfId="73" applyFont="1" applyFill="1" applyBorder="1" applyAlignment="1" applyProtection="1">
      <alignment vertical="center"/>
      <protection locked="0"/>
    </xf>
    <xf numFmtId="9" fontId="60" fillId="0" borderId="0" xfId="65" applyFont="1" applyFill="1" applyBorder="1" applyAlignment="1" applyProtection="1">
      <alignment vertical="center"/>
      <protection locked="0"/>
    </xf>
    <xf numFmtId="9" fontId="59" fillId="0" borderId="0" xfId="65" applyFont="1" applyFill="1" applyBorder="1" applyAlignment="1" applyProtection="1">
      <alignment vertical="center"/>
      <protection locked="0"/>
    </xf>
    <xf numFmtId="49" fontId="59" fillId="0" borderId="64" xfId="63" applyNumberFormat="1" applyFont="1" applyBorder="1" applyAlignment="1">
      <alignment horizontal="left" vertical="center" wrapText="1"/>
    </xf>
    <xf numFmtId="43" fontId="59" fillId="0" borderId="22" xfId="73" applyFont="1" applyFill="1" applyBorder="1" applyAlignment="1" applyProtection="1">
      <alignment vertical="center"/>
      <protection locked="0"/>
    </xf>
    <xf numFmtId="43" fontId="59" fillId="4" borderId="30" xfId="73" applyFont="1" applyFill="1" applyBorder="1" applyAlignment="1" applyProtection="1">
      <alignment vertical="center"/>
      <protection locked="0"/>
    </xf>
    <xf numFmtId="164" fontId="57" fillId="0" borderId="0" xfId="73" applyNumberFormat="1" applyFont="1" applyFill="1" applyAlignment="1" applyProtection="1">
      <alignment vertical="center"/>
      <protection locked="0"/>
    </xf>
    <xf numFmtId="167" fontId="59" fillId="0" borderId="64" xfId="63" applyFont="1" applyBorder="1" applyAlignment="1">
      <alignment horizontal="left" vertical="center" wrapText="1"/>
    </xf>
    <xf numFmtId="43" fontId="59" fillId="10" borderId="22" xfId="73" applyFont="1" applyFill="1" applyBorder="1" applyAlignment="1" applyProtection="1">
      <alignment vertical="center"/>
      <protection locked="0"/>
    </xf>
    <xf numFmtId="0" fontId="59" fillId="0" borderId="0" xfId="46" applyFont="1" applyAlignment="1" applyProtection="1">
      <alignment horizontal="center" vertical="center"/>
      <protection locked="0"/>
    </xf>
    <xf numFmtId="0" fontId="77" fillId="0" borderId="64" xfId="0" applyFont="1" applyBorder="1" applyAlignment="1">
      <alignment horizontal="left" vertical="center"/>
    </xf>
    <xf numFmtId="0" fontId="77" fillId="0" borderId="64" xfId="0" applyFont="1" applyBorder="1"/>
    <xf numFmtId="43" fontId="60" fillId="0" borderId="64" xfId="5" applyFont="1" applyFill="1" applyBorder="1" applyAlignment="1" applyProtection="1">
      <alignment horizontal="left" vertical="center"/>
    </xf>
    <xf numFmtId="43" fontId="77" fillId="7" borderId="22" xfId="73" applyFont="1" applyFill="1" applyBorder="1" applyAlignment="1">
      <alignment vertical="center"/>
    </xf>
    <xf numFmtId="9" fontId="60" fillId="10" borderId="0" xfId="65" applyFont="1" applyFill="1" applyBorder="1" applyAlignment="1" applyProtection="1">
      <alignment vertical="center"/>
      <protection locked="0"/>
    </xf>
    <xf numFmtId="43" fontId="77" fillId="0" borderId="22" xfId="73" applyFont="1" applyFill="1" applyBorder="1" applyAlignment="1">
      <alignment vertical="center"/>
    </xf>
    <xf numFmtId="10" fontId="59" fillId="0" borderId="0" xfId="65" applyNumberFormat="1" applyFont="1" applyFill="1" applyBorder="1" applyAlignment="1" applyProtection="1">
      <alignment vertical="center"/>
      <protection locked="0"/>
    </xf>
    <xf numFmtId="167" fontId="59" fillId="10" borderId="64" xfId="63" applyFont="1" applyFill="1" applyBorder="1" applyAlignment="1">
      <alignment horizontal="left" vertical="center" wrapText="1"/>
    </xf>
    <xf numFmtId="167" fontId="59" fillId="0" borderId="64" xfId="63" applyFont="1" applyBorder="1" applyAlignment="1">
      <alignment horizontal="left" vertical="center"/>
    </xf>
    <xf numFmtId="43" fontId="68" fillId="8" borderId="22" xfId="73" applyFont="1" applyFill="1" applyBorder="1" applyAlignment="1" applyProtection="1">
      <alignment vertical="center"/>
      <protection locked="0"/>
    </xf>
    <xf numFmtId="0" fontId="78" fillId="0" borderId="0" xfId="46" applyFont="1" applyAlignment="1" applyProtection="1">
      <alignment vertical="center"/>
      <protection locked="0"/>
    </xf>
    <xf numFmtId="43" fontId="78" fillId="0" borderId="64" xfId="5" applyFont="1" applyFill="1" applyBorder="1" applyAlignment="1" applyProtection="1">
      <alignment horizontal="left" vertical="center"/>
    </xf>
    <xf numFmtId="43" fontId="78" fillId="0" borderId="22" xfId="73" applyFont="1" applyFill="1" applyBorder="1" applyAlignment="1" applyProtection="1">
      <alignment vertical="center"/>
      <protection locked="0"/>
    </xf>
    <xf numFmtId="43" fontId="78" fillId="4" borderId="30" xfId="73" applyFont="1" applyFill="1" applyBorder="1" applyAlignment="1" applyProtection="1">
      <alignment vertical="center"/>
      <protection locked="0"/>
    </xf>
    <xf numFmtId="164" fontId="97" fillId="0" borderId="0" xfId="73" applyNumberFormat="1" applyFont="1" applyFill="1" applyAlignment="1" applyProtection="1">
      <alignment vertical="center"/>
      <protection locked="0"/>
    </xf>
    <xf numFmtId="0" fontId="98" fillId="0" borderId="0" xfId="46" applyFont="1" applyAlignment="1" applyProtection="1">
      <alignment vertical="center"/>
      <protection locked="0"/>
    </xf>
    <xf numFmtId="168" fontId="57" fillId="0" borderId="0" xfId="73" applyNumberFormat="1" applyFont="1" applyFill="1" applyAlignment="1" applyProtection="1">
      <alignment vertical="center"/>
      <protection locked="0"/>
    </xf>
    <xf numFmtId="0" fontId="80" fillId="0" borderId="0" xfId="46" applyFont="1" applyAlignment="1" applyProtection="1">
      <alignment horizontal="center" vertical="center"/>
      <protection locked="0"/>
    </xf>
    <xf numFmtId="43" fontId="76" fillId="0" borderId="66" xfId="5" applyFont="1" applyFill="1" applyBorder="1" applyAlignment="1" applyProtection="1">
      <alignment vertical="center"/>
    </xf>
    <xf numFmtId="43" fontId="76" fillId="0" borderId="31" xfId="73" applyFont="1" applyFill="1" applyBorder="1" applyAlignment="1" applyProtection="1">
      <alignment horizontal="center" vertical="center"/>
      <protection locked="0"/>
    </xf>
    <xf numFmtId="43" fontId="76" fillId="0" borderId="32" xfId="73" applyFont="1" applyFill="1" applyBorder="1" applyAlignment="1" applyProtection="1">
      <alignment horizontal="center" vertical="center"/>
      <protection locked="0"/>
    </xf>
    <xf numFmtId="164" fontId="80" fillId="0" borderId="0" xfId="73" applyNumberFormat="1" applyFont="1" applyFill="1" applyAlignment="1" applyProtection="1">
      <alignment horizontal="center" vertical="center"/>
      <protection locked="0"/>
    </xf>
    <xf numFmtId="0" fontId="99" fillId="0" borderId="0" xfId="46" applyFont="1" applyAlignment="1" applyProtection="1">
      <alignment horizontal="center" vertical="center"/>
      <protection locked="0"/>
    </xf>
    <xf numFmtId="0" fontId="59" fillId="0" borderId="0" xfId="46" applyFont="1" applyAlignment="1">
      <alignment vertical="center"/>
    </xf>
    <xf numFmtId="43" fontId="59" fillId="0" borderId="0" xfId="73" applyFont="1" applyFill="1" applyAlignment="1" applyProtection="1">
      <alignment vertical="center"/>
      <protection locked="0"/>
    </xf>
    <xf numFmtId="164" fontId="59" fillId="0" borderId="0" xfId="46" applyNumberFormat="1" applyFont="1" applyAlignment="1" applyProtection="1">
      <alignment vertical="center"/>
      <protection locked="0"/>
    </xf>
    <xf numFmtId="0" fontId="59" fillId="0" borderId="67" xfId="46" applyFont="1" applyBorder="1" applyAlignment="1">
      <alignment vertical="center"/>
    </xf>
    <xf numFmtId="9" fontId="59" fillId="0" borderId="0" xfId="65" applyFont="1" applyFill="1" applyAlignment="1" applyProtection="1">
      <alignment vertical="center"/>
      <protection locked="0"/>
    </xf>
    <xf numFmtId="43" fontId="59" fillId="0" borderId="0" xfId="65" applyNumberFormat="1" applyFont="1" applyFill="1" applyAlignment="1" applyProtection="1">
      <alignment vertical="center"/>
      <protection locked="0"/>
    </xf>
    <xf numFmtId="9" fontId="59" fillId="10" borderId="0" xfId="65" applyFont="1" applyFill="1" applyBorder="1" applyAlignment="1" applyProtection="1">
      <alignment vertical="center"/>
      <protection locked="0"/>
    </xf>
    <xf numFmtId="164" fontId="59" fillId="10" borderId="0" xfId="73" applyNumberFormat="1" applyFont="1" applyFill="1" applyBorder="1" applyAlignment="1" applyProtection="1">
      <alignment vertical="center"/>
      <protection locked="0"/>
    </xf>
    <xf numFmtId="164" fontId="76" fillId="0" borderId="0" xfId="2" applyNumberFormat="1" applyFont="1" applyFill="1" applyBorder="1" applyAlignment="1" applyProtection="1">
      <alignment horizontal="right" vertical="center"/>
    </xf>
    <xf numFmtId="43" fontId="76" fillId="0" borderId="0" xfId="73" applyFont="1" applyFill="1" applyBorder="1" applyAlignment="1" applyProtection="1">
      <alignment horizontal="right" vertical="center"/>
      <protection locked="0"/>
    </xf>
    <xf numFmtId="43" fontId="95" fillId="0" borderId="0" xfId="73" applyFont="1" applyFill="1" applyBorder="1" applyAlignment="1" applyProtection="1">
      <alignment horizontal="left" vertical="center" wrapText="1"/>
      <protection locked="0"/>
    </xf>
    <xf numFmtId="9" fontId="76" fillId="0" borderId="0" xfId="65" applyFont="1" applyFill="1" applyBorder="1" applyAlignment="1" applyProtection="1">
      <alignment horizontal="right" vertical="center"/>
      <protection locked="0"/>
    </xf>
    <xf numFmtId="4" fontId="79" fillId="0" borderId="37" xfId="0" applyNumberFormat="1" applyFont="1" applyBorder="1" applyAlignment="1">
      <alignment horizontal="right" vertical="center" wrapText="1"/>
    </xf>
    <xf numFmtId="43" fontId="79" fillId="0" borderId="37" xfId="73" applyFont="1" applyFill="1" applyBorder="1" applyAlignment="1" applyProtection="1">
      <alignment vertical="center"/>
      <protection locked="0"/>
    </xf>
    <xf numFmtId="43" fontId="77" fillId="0" borderId="37" xfId="73" applyFont="1" applyFill="1" applyBorder="1" applyAlignment="1" applyProtection="1">
      <alignment vertical="center"/>
      <protection locked="0"/>
    </xf>
    <xf numFmtId="43" fontId="79" fillId="0" borderId="37" xfId="73" applyFont="1" applyFill="1" applyBorder="1" applyAlignment="1">
      <alignment vertical="center"/>
    </xf>
    <xf numFmtId="43" fontId="77" fillId="0" borderId="37" xfId="73" applyFont="1" applyFill="1" applyBorder="1" applyAlignment="1">
      <alignment vertical="center"/>
    </xf>
    <xf numFmtId="43" fontId="79" fillId="0" borderId="46" xfId="73" applyFont="1" applyFill="1" applyBorder="1" applyAlignment="1">
      <alignment horizontal="center" vertical="center" wrapText="1"/>
    </xf>
    <xf numFmtId="43" fontId="79" fillId="0" borderId="0" xfId="73" applyFont="1" applyFill="1" applyBorder="1" applyAlignment="1">
      <alignment horizontal="center" vertical="center" wrapText="1"/>
    </xf>
    <xf numFmtId="164" fontId="79" fillId="0" borderId="0" xfId="73" applyNumberFormat="1" applyFont="1" applyFill="1" applyBorder="1" applyAlignment="1">
      <alignment horizontal="center" vertical="center" wrapText="1"/>
    </xf>
    <xf numFmtId="164" fontId="77" fillId="0" borderId="0" xfId="73" applyNumberFormat="1" applyFont="1" applyAlignment="1">
      <alignment vertical="center"/>
    </xf>
    <xf numFmtId="0" fontId="100" fillId="0" borderId="0" xfId="0" applyFont="1" applyAlignment="1">
      <alignment vertical="center"/>
    </xf>
    <xf numFmtId="4" fontId="79" fillId="0" borderId="0" xfId="0" applyNumberFormat="1" applyFont="1" applyAlignment="1">
      <alignment horizontal="right" vertical="center" wrapText="1"/>
    </xf>
    <xf numFmtId="43" fontId="79" fillId="0" borderId="0" xfId="73" applyFont="1" applyFill="1" applyBorder="1" applyAlignment="1" applyProtection="1">
      <alignment vertical="center"/>
      <protection locked="0"/>
    </xf>
    <xf numFmtId="43" fontId="79" fillId="0" borderId="0" xfId="73" applyFont="1" applyFill="1" applyBorder="1" applyAlignment="1">
      <alignment vertical="center"/>
    </xf>
    <xf numFmtId="43" fontId="77" fillId="0" borderId="0" xfId="73" applyFont="1" applyFill="1" applyBorder="1" applyAlignment="1">
      <alignment vertical="center"/>
    </xf>
    <xf numFmtId="164" fontId="79" fillId="0" borderId="0" xfId="2" applyNumberFormat="1" applyFont="1" applyFill="1" applyAlignment="1" applyProtection="1">
      <alignment vertical="center"/>
    </xf>
    <xf numFmtId="43" fontId="79" fillId="0" borderId="0" xfId="73" applyFont="1" applyFill="1" applyAlignment="1" applyProtection="1">
      <alignment vertical="center"/>
      <protection locked="0"/>
    </xf>
    <xf numFmtId="43" fontId="77" fillId="0" borderId="0" xfId="73" applyFont="1" applyFill="1" applyAlignment="1" applyProtection="1">
      <alignment vertical="center"/>
      <protection locked="0"/>
    </xf>
    <xf numFmtId="164" fontId="79" fillId="0" borderId="0" xfId="73" applyNumberFormat="1" applyFont="1" applyFill="1" applyAlignment="1" applyProtection="1">
      <alignment vertical="center"/>
      <protection locked="0"/>
    </xf>
    <xf numFmtId="4" fontId="79" fillId="0" borderId="38" xfId="0" applyNumberFormat="1" applyFont="1" applyBorder="1" applyAlignment="1">
      <alignment horizontal="right" vertical="center" wrapText="1"/>
    </xf>
    <xf numFmtId="43" fontId="79" fillId="0" borderId="38" xfId="73" applyFont="1" applyFill="1" applyBorder="1" applyAlignment="1" applyProtection="1">
      <alignment vertical="center"/>
      <protection locked="0"/>
    </xf>
    <xf numFmtId="43" fontId="77" fillId="0" borderId="38" xfId="73" applyFont="1" applyFill="1" applyBorder="1" applyAlignment="1" applyProtection="1">
      <alignment vertical="center"/>
      <protection locked="0"/>
    </xf>
    <xf numFmtId="4" fontId="79" fillId="11" borderId="38" xfId="0" applyNumberFormat="1" applyFont="1" applyFill="1" applyBorder="1" applyAlignment="1">
      <alignment horizontal="right" vertical="center" wrapText="1"/>
    </xf>
    <xf numFmtId="43" fontId="79" fillId="11" borderId="38" xfId="73" applyFont="1" applyFill="1" applyBorder="1" applyAlignment="1" applyProtection="1">
      <alignment vertical="center"/>
      <protection locked="0"/>
    </xf>
    <xf numFmtId="43" fontId="68" fillId="11" borderId="38" xfId="73" applyFont="1" applyFill="1" applyBorder="1" applyAlignment="1" applyProtection="1">
      <alignment vertical="center"/>
      <protection locked="0"/>
    </xf>
    <xf numFmtId="43" fontId="101" fillId="11" borderId="38" xfId="73" applyFont="1" applyFill="1" applyBorder="1" applyAlignment="1" applyProtection="1">
      <alignment vertical="center"/>
      <protection locked="0"/>
    </xf>
    <xf numFmtId="43" fontId="102" fillId="11" borderId="38" xfId="73" applyFont="1" applyFill="1" applyBorder="1" applyAlignment="1" applyProtection="1">
      <alignment vertical="center"/>
      <protection locked="0"/>
    </xf>
    <xf numFmtId="164" fontId="59" fillId="11" borderId="0" xfId="73" applyNumberFormat="1" applyFont="1" applyFill="1" applyAlignment="1" applyProtection="1">
      <alignment vertical="center"/>
      <protection locked="0"/>
    </xf>
    <xf numFmtId="0" fontId="57" fillId="11" borderId="0" xfId="46" applyFont="1" applyFill="1" applyAlignment="1" applyProtection="1">
      <alignment vertical="center"/>
      <protection locked="0"/>
    </xf>
    <xf numFmtId="43" fontId="68" fillId="0" borderId="38" xfId="73" applyFont="1" applyFill="1" applyBorder="1" applyAlignment="1" applyProtection="1">
      <alignment vertical="center"/>
      <protection locked="0"/>
    </xf>
    <xf numFmtId="0" fontId="79" fillId="0" borderId="0" xfId="46" applyFont="1" applyAlignment="1" applyProtection="1">
      <alignment vertical="center"/>
      <protection locked="0"/>
    </xf>
    <xf numFmtId="0" fontId="79" fillId="0" borderId="0" xfId="46" applyFont="1" applyAlignment="1">
      <alignment vertical="center"/>
    </xf>
    <xf numFmtId="0" fontId="79" fillId="0" borderId="39" xfId="46" applyFont="1" applyBorder="1" applyAlignment="1" applyProtection="1">
      <alignment vertical="center"/>
      <protection locked="0"/>
    </xf>
    <xf numFmtId="49" fontId="79" fillId="0" borderId="47" xfId="0" applyNumberFormat="1" applyFont="1" applyBorder="1" applyAlignment="1">
      <alignment vertical="center" wrapText="1"/>
    </xf>
    <xf numFmtId="4" fontId="79" fillId="0" borderId="39" xfId="0" applyNumberFormat="1" applyFont="1" applyBorder="1" applyAlignment="1">
      <alignment horizontal="right" vertical="center" wrapText="1"/>
    </xf>
    <xf numFmtId="43" fontId="79" fillId="0" borderId="39" xfId="73" applyFont="1" applyFill="1" applyBorder="1" applyAlignment="1" applyProtection="1">
      <alignment vertical="center"/>
      <protection locked="0"/>
    </xf>
    <xf numFmtId="43" fontId="77" fillId="0" borderId="39" xfId="73" applyFont="1" applyFill="1" applyBorder="1" applyAlignment="1" applyProtection="1">
      <alignment vertical="center"/>
      <protection locked="0"/>
    </xf>
    <xf numFmtId="0" fontId="59" fillId="10" borderId="0" xfId="46" applyFont="1" applyFill="1" applyAlignment="1" applyProtection="1">
      <alignment vertical="center"/>
      <protection locked="0"/>
    </xf>
    <xf numFmtId="0" fontId="59" fillId="10" borderId="0" xfId="46" applyFont="1" applyFill="1" applyAlignment="1">
      <alignment vertical="center"/>
    </xf>
    <xf numFmtId="43" fontId="59" fillId="10" borderId="0" xfId="73" applyFont="1" applyFill="1" applyAlignment="1" applyProtection="1">
      <alignment vertical="center"/>
      <protection locked="0"/>
    </xf>
    <xf numFmtId="43" fontId="77" fillId="10" borderId="0" xfId="73" applyFont="1" applyFill="1" applyAlignment="1" applyProtection="1">
      <alignment vertical="center"/>
      <protection locked="0"/>
    </xf>
    <xf numFmtId="164" fontId="59" fillId="10" borderId="0" xfId="73" applyNumberFormat="1" applyFont="1" applyFill="1" applyAlignment="1" applyProtection="1">
      <alignment vertical="center"/>
      <protection locked="0"/>
    </xf>
    <xf numFmtId="0" fontId="57" fillId="10" borderId="0" xfId="46" applyFont="1" applyFill="1" applyAlignment="1" applyProtection="1">
      <alignment vertical="center"/>
      <protection locked="0"/>
    </xf>
    <xf numFmtId="0" fontId="79" fillId="0" borderId="39" xfId="46" applyFont="1" applyBorder="1" applyAlignment="1">
      <alignment vertical="center"/>
    </xf>
    <xf numFmtId="43" fontId="79" fillId="0" borderId="47" xfId="73" applyFont="1" applyFill="1" applyBorder="1" applyAlignment="1" applyProtection="1">
      <alignment vertical="center"/>
      <protection locked="0"/>
    </xf>
    <xf numFmtId="164" fontId="79" fillId="0" borderId="0" xfId="73" applyNumberFormat="1" applyFont="1" applyFill="1" applyBorder="1" applyAlignment="1" applyProtection="1">
      <alignment vertical="center"/>
      <protection locked="0"/>
    </xf>
    <xf numFmtId="4" fontId="79" fillId="11" borderId="39" xfId="0" applyNumberFormat="1" applyFont="1" applyFill="1" applyBorder="1" applyAlignment="1">
      <alignment horizontal="right" vertical="center" wrapText="1"/>
    </xf>
    <xf numFmtId="43" fontId="79" fillId="11" borderId="39" xfId="73" applyFont="1" applyFill="1" applyBorder="1" applyAlignment="1" applyProtection="1">
      <alignment vertical="center"/>
      <protection locked="0"/>
    </xf>
    <xf numFmtId="43" fontId="77" fillId="11" borderId="39" xfId="73" applyFont="1" applyFill="1" applyBorder="1" applyAlignment="1" applyProtection="1">
      <alignment vertical="center"/>
      <protection locked="0"/>
    </xf>
    <xf numFmtId="49" fontId="56" fillId="12" borderId="45" xfId="0" applyNumberFormat="1" applyFont="1" applyFill="1" applyBorder="1" applyAlignment="1">
      <alignment horizontal="left" vertical="top" wrapText="1"/>
    </xf>
    <xf numFmtId="43" fontId="103" fillId="0" borderId="39" xfId="73" applyFont="1" applyFill="1" applyBorder="1" applyAlignment="1" applyProtection="1">
      <alignment vertical="center"/>
      <protection locked="0"/>
    </xf>
    <xf numFmtId="43" fontId="102" fillId="0" borderId="39" xfId="73" applyFont="1" applyFill="1" applyBorder="1" applyAlignment="1" applyProtection="1">
      <alignment vertical="center"/>
      <protection locked="0"/>
    </xf>
    <xf numFmtId="43" fontId="68" fillId="8" borderId="39" xfId="73" applyFont="1" applyFill="1" applyBorder="1" applyAlignment="1" applyProtection="1">
      <alignment vertical="center"/>
      <protection locked="0"/>
    </xf>
    <xf numFmtId="43" fontId="68" fillId="11" borderId="39" xfId="73" applyFont="1" applyFill="1" applyBorder="1" applyAlignment="1" applyProtection="1">
      <alignment vertical="center"/>
      <protection locked="0"/>
    </xf>
    <xf numFmtId="43" fontId="68" fillId="0" borderId="39" xfId="73" applyFont="1" applyFill="1" applyBorder="1" applyAlignment="1" applyProtection="1">
      <alignment vertical="center"/>
      <protection locked="0"/>
    </xf>
    <xf numFmtId="49" fontId="56" fillId="0" borderId="0" xfId="0" applyNumberFormat="1" applyFont="1" applyAlignment="1">
      <alignment horizontal="left" vertical="top" wrapText="1"/>
    </xf>
    <xf numFmtId="49" fontId="56" fillId="11" borderId="46" xfId="0" applyNumberFormat="1" applyFont="1" applyFill="1" applyBorder="1" applyAlignment="1">
      <alignment vertical="top" wrapText="1"/>
    </xf>
    <xf numFmtId="49" fontId="56" fillId="0" borderId="68" xfId="0" applyNumberFormat="1" applyFont="1" applyBorder="1" applyAlignment="1">
      <alignment vertical="top" wrapText="1"/>
    </xf>
    <xf numFmtId="43" fontId="79" fillId="0" borderId="39" xfId="73" applyFont="1" applyFill="1" applyBorder="1" applyAlignment="1">
      <alignment horizontal="right" vertical="center" wrapText="1"/>
    </xf>
    <xf numFmtId="49" fontId="79" fillId="12" borderId="39" xfId="0" applyNumberFormat="1" applyFont="1" applyFill="1" applyBorder="1" applyAlignment="1">
      <alignment horizontal="left" vertical="center" wrapText="1"/>
    </xf>
    <xf numFmtId="43" fontId="79" fillId="12" borderId="39" xfId="73" applyFont="1" applyFill="1" applyBorder="1" applyAlignment="1">
      <alignment horizontal="right" vertical="center" wrapText="1"/>
    </xf>
    <xf numFmtId="43" fontId="79" fillId="12" borderId="39" xfId="73" applyFont="1" applyFill="1" applyBorder="1" applyAlignment="1" applyProtection="1">
      <alignment vertical="center"/>
      <protection locked="0"/>
    </xf>
    <xf numFmtId="43" fontId="77" fillId="12" borderId="39" xfId="73" applyFont="1" applyFill="1" applyBorder="1" applyAlignment="1" applyProtection="1">
      <alignment vertical="center"/>
      <protection locked="0"/>
    </xf>
    <xf numFmtId="43" fontId="68" fillId="12" borderId="39" xfId="73" applyFont="1" applyFill="1" applyBorder="1" applyAlignment="1" applyProtection="1">
      <alignment vertical="center"/>
      <protection locked="0"/>
    </xf>
    <xf numFmtId="43" fontId="79" fillId="12" borderId="46" xfId="73" applyFont="1" applyFill="1" applyBorder="1" applyAlignment="1">
      <alignment horizontal="center" vertical="center" wrapText="1"/>
    </xf>
    <xf numFmtId="43" fontId="79" fillId="12" borderId="0" xfId="73" applyFont="1" applyFill="1" applyBorder="1" applyAlignment="1">
      <alignment horizontal="center" vertical="center" wrapText="1"/>
    </xf>
    <xf numFmtId="164" fontId="79" fillId="12" borderId="0" xfId="73" applyNumberFormat="1" applyFont="1" applyFill="1" applyBorder="1" applyAlignment="1">
      <alignment horizontal="center" vertical="center" wrapText="1"/>
    </xf>
    <xf numFmtId="164" fontId="59" fillId="12" borderId="0" xfId="73" applyNumberFormat="1" applyFont="1" applyFill="1" applyAlignment="1" applyProtection="1">
      <alignment vertical="center"/>
      <protection locked="0"/>
    </xf>
    <xf numFmtId="0" fontId="57" fillId="12" borderId="0" xfId="46" applyFont="1" applyFill="1" applyAlignment="1" applyProtection="1">
      <alignment vertical="center"/>
      <protection locked="0"/>
    </xf>
    <xf numFmtId="43" fontId="101" fillId="12" borderId="39" xfId="73" applyFont="1" applyFill="1" applyBorder="1" applyAlignment="1" applyProtection="1">
      <alignment vertical="center"/>
      <protection locked="0"/>
    </xf>
    <xf numFmtId="43" fontId="102" fillId="12" borderId="39" xfId="73" applyFont="1" applyFill="1" applyBorder="1" applyAlignment="1" applyProtection="1">
      <alignment vertical="center"/>
      <protection locked="0"/>
    </xf>
    <xf numFmtId="43" fontId="79" fillId="10" borderId="39" xfId="73" applyFont="1" applyFill="1" applyBorder="1" applyAlignment="1" applyProtection="1">
      <alignment vertical="center"/>
      <protection locked="0"/>
    </xf>
    <xf numFmtId="43" fontId="79" fillId="11" borderId="39" xfId="73" applyFont="1" applyFill="1" applyBorder="1" applyAlignment="1">
      <alignment horizontal="right" vertical="center" wrapText="1"/>
    </xf>
    <xf numFmtId="43" fontId="101" fillId="11" borderId="39" xfId="73" applyFont="1" applyFill="1" applyBorder="1" applyAlignment="1" applyProtection="1">
      <alignment vertical="center"/>
      <protection locked="0"/>
    </xf>
    <xf numFmtId="43" fontId="102" fillId="11" borderId="39" xfId="73" applyFont="1" applyFill="1" applyBorder="1" applyAlignment="1" applyProtection="1">
      <alignment vertical="center"/>
      <protection locked="0"/>
    </xf>
    <xf numFmtId="49" fontId="103" fillId="0" borderId="39" xfId="0" applyNumberFormat="1" applyFont="1" applyBorder="1" applyAlignment="1">
      <alignment horizontal="left" vertical="center" wrapText="1"/>
    </xf>
    <xf numFmtId="43" fontId="103" fillId="0" borderId="39" xfId="73" applyFont="1" applyFill="1" applyBorder="1" applyAlignment="1">
      <alignment horizontal="right" vertical="center" wrapText="1"/>
    </xf>
    <xf numFmtId="43" fontId="103" fillId="0" borderId="46" xfId="73" applyFont="1" applyFill="1" applyBorder="1" applyAlignment="1">
      <alignment horizontal="center" vertical="center" wrapText="1"/>
    </xf>
    <xf numFmtId="0" fontId="59" fillId="6" borderId="0" xfId="46" applyFont="1" applyFill="1" applyAlignment="1" applyProtection="1">
      <alignment vertical="center"/>
      <protection locked="0"/>
    </xf>
    <xf numFmtId="0" fontId="59" fillId="6" borderId="0" xfId="46" applyFont="1" applyFill="1" applyAlignment="1">
      <alignment vertical="center"/>
    </xf>
    <xf numFmtId="43" fontId="59" fillId="6" borderId="0" xfId="73" applyFont="1" applyFill="1" applyAlignment="1" applyProtection="1">
      <alignment vertical="center"/>
      <protection locked="0"/>
    </xf>
    <xf numFmtId="43" fontId="77" fillId="6" borderId="0" xfId="73" applyFont="1" applyFill="1" applyAlignment="1" applyProtection="1">
      <alignment vertical="center"/>
      <protection locked="0"/>
    </xf>
    <xf numFmtId="164" fontId="59" fillId="6" borderId="0" xfId="73" applyNumberFormat="1" applyFont="1" applyFill="1" applyAlignment="1" applyProtection="1">
      <alignment vertical="center"/>
      <protection locked="0"/>
    </xf>
    <xf numFmtId="0" fontId="59" fillId="12" borderId="0" xfId="46" applyFont="1" applyFill="1" applyAlignment="1" applyProtection="1">
      <alignment vertical="center"/>
      <protection locked="0"/>
    </xf>
    <xf numFmtId="0" fontId="59" fillId="12" borderId="0" xfId="46" applyFont="1" applyFill="1" applyAlignment="1">
      <alignment vertical="center"/>
    </xf>
    <xf numFmtId="43" fontId="59" fillId="12" borderId="0" xfId="73" applyFont="1" applyFill="1" applyAlignment="1" applyProtection="1">
      <alignment vertical="center"/>
      <protection locked="0"/>
    </xf>
    <xf numFmtId="43" fontId="77" fillId="12" borderId="0" xfId="73" applyFont="1" applyFill="1" applyAlignment="1" applyProtection="1">
      <alignment vertical="center"/>
      <protection locked="0"/>
    </xf>
    <xf numFmtId="43" fontId="77" fillId="0" borderId="0" xfId="73" applyFont="1" applyFill="1" applyBorder="1" applyAlignment="1" applyProtection="1">
      <alignment vertical="center"/>
      <protection locked="0"/>
    </xf>
    <xf numFmtId="43" fontId="57" fillId="0" borderId="0" xfId="73" applyFont="1" applyFill="1" applyAlignment="1" applyProtection="1">
      <alignment vertical="center"/>
      <protection locked="0"/>
    </xf>
    <xf numFmtId="43" fontId="6" fillId="0" borderId="1" xfId="1" applyFont="1" applyBorder="1"/>
    <xf numFmtId="0" fontId="107" fillId="3" borderId="0" xfId="0" applyFont="1" applyFill="1" applyAlignment="1">
      <alignment vertical="center"/>
    </xf>
    <xf numFmtId="0" fontId="108" fillId="0" borderId="0" xfId="0" applyFont="1" applyAlignment="1">
      <alignment vertical="center"/>
    </xf>
    <xf numFmtId="0" fontId="109" fillId="0" borderId="0" xfId="54" applyFont="1" applyAlignment="1">
      <alignment horizontal="center" vertical="center"/>
    </xf>
    <xf numFmtId="0" fontId="107" fillId="0" borderId="0" xfId="0" applyFont="1" applyAlignment="1">
      <alignment vertical="center"/>
    </xf>
    <xf numFmtId="0" fontId="107" fillId="2" borderId="0" xfId="54" applyFont="1" applyFill="1" applyAlignment="1">
      <alignment horizontal="left" vertical="center"/>
    </xf>
    <xf numFmtId="0" fontId="110" fillId="0" borderId="1" xfId="0" applyFont="1" applyBorder="1" applyAlignment="1">
      <alignment horizontal="center" vertical="center" wrapText="1"/>
    </xf>
    <xf numFmtId="0" fontId="110" fillId="0" borderId="7" xfId="0" applyFont="1" applyBorder="1" applyAlignment="1">
      <alignment horizontal="center" vertical="center"/>
    </xf>
    <xf numFmtId="0" fontId="110" fillId="0" borderId="16" xfId="0" applyFont="1" applyBorder="1" applyAlignment="1">
      <alignment horizontal="left" vertical="center"/>
    </xf>
    <xf numFmtId="0" fontId="110" fillId="0" borderId="1" xfId="0" applyFont="1" applyBorder="1" applyAlignment="1">
      <alignment horizontal="left" vertical="center"/>
    </xf>
    <xf numFmtId="168" fontId="108" fillId="0" borderId="1" xfId="1" applyNumberFormat="1" applyFont="1" applyFill="1" applyBorder="1" applyAlignment="1" applyProtection="1">
      <alignment horizontal="right" vertical="center"/>
    </xf>
    <xf numFmtId="168" fontId="108" fillId="0" borderId="1" xfId="1" applyNumberFormat="1" applyFont="1" applyFill="1" applyBorder="1" applyAlignment="1">
      <alignment horizontal="right" vertical="center"/>
    </xf>
    <xf numFmtId="168" fontId="107" fillId="0" borderId="1" xfId="1" applyNumberFormat="1" applyFont="1" applyBorder="1" applyAlignment="1">
      <alignment horizontal="right" vertical="center"/>
    </xf>
    <xf numFmtId="0" fontId="111" fillId="0" borderId="16" xfId="0" applyFont="1" applyBorder="1" applyAlignment="1">
      <alignment horizontal="left" vertical="center"/>
    </xf>
    <xf numFmtId="0" fontId="111" fillId="0" borderId="1" xfId="0" applyFont="1" applyBorder="1" applyAlignment="1">
      <alignment horizontal="left" vertical="center"/>
    </xf>
    <xf numFmtId="168" fontId="108" fillId="0" borderId="1" xfId="1" applyNumberFormat="1" applyFont="1" applyFill="1" applyBorder="1" applyAlignment="1" applyProtection="1">
      <alignment vertical="center"/>
    </xf>
    <xf numFmtId="0" fontId="111" fillId="0" borderId="1" xfId="0" applyFont="1" applyBorder="1" applyAlignment="1">
      <alignment horizontal="left" vertical="center" wrapText="1"/>
    </xf>
    <xf numFmtId="168" fontId="112" fillId="0" borderId="1" xfId="1" applyNumberFormat="1" applyFont="1" applyFill="1" applyBorder="1" applyAlignment="1" applyProtection="1">
      <alignment horizontal="right" vertical="center"/>
    </xf>
    <xf numFmtId="168" fontId="106" fillId="2" borderId="1" xfId="1" applyNumberFormat="1" applyFont="1" applyFill="1" applyBorder="1" applyAlignment="1" applyProtection="1">
      <alignment horizontal="right" vertical="center"/>
    </xf>
    <xf numFmtId="0" fontId="112" fillId="0" borderId="0" xfId="0" applyFont="1" applyAlignment="1">
      <alignment vertical="center"/>
    </xf>
    <xf numFmtId="0" fontId="110" fillId="0" borderId="1" xfId="0" applyFont="1" applyBorder="1" applyAlignment="1">
      <alignment horizontal="left" vertical="center" wrapText="1"/>
    </xf>
    <xf numFmtId="0" fontId="110" fillId="0" borderId="17" xfId="0" applyFont="1" applyBorder="1" applyAlignment="1">
      <alignment horizontal="left" vertical="center"/>
    </xf>
    <xf numFmtId="0" fontId="110" fillId="0" borderId="0" xfId="0" applyFont="1" applyAlignment="1">
      <alignment horizontal="left" vertical="center"/>
    </xf>
    <xf numFmtId="0" fontId="113" fillId="0" borderId="0" xfId="0" applyFont="1" applyAlignment="1">
      <alignment vertical="center"/>
    </xf>
    <xf numFmtId="0" fontId="111" fillId="0" borderId="0" xfId="0" applyFont="1" applyAlignment="1">
      <alignment vertical="center"/>
    </xf>
    <xf numFmtId="168" fontId="108" fillId="0" borderId="0" xfId="1" applyNumberFormat="1" applyFont="1" applyAlignment="1">
      <alignment vertical="center"/>
    </xf>
    <xf numFmtId="168" fontId="112" fillId="0" borderId="0" xfId="1" applyNumberFormat="1" applyFont="1" applyAlignment="1">
      <alignment vertical="center"/>
    </xf>
    <xf numFmtId="168" fontId="107" fillId="2" borderId="0" xfId="1" applyNumberFormat="1" applyFont="1" applyFill="1" applyBorder="1" applyAlignment="1" applyProtection="1">
      <alignment horizontal="left" vertical="center"/>
    </xf>
    <xf numFmtId="168" fontId="107" fillId="0" borderId="0" xfId="1" applyNumberFormat="1" applyFont="1" applyAlignment="1">
      <alignment vertical="center"/>
    </xf>
    <xf numFmtId="168" fontId="58" fillId="0" borderId="1" xfId="1" applyNumberFormat="1" applyFont="1" applyFill="1" applyBorder="1" applyAlignment="1">
      <alignment horizontal="center" vertical="center"/>
    </xf>
    <xf numFmtId="168" fontId="57" fillId="0" borderId="1" xfId="1" applyNumberFormat="1" applyFont="1" applyFill="1" applyBorder="1" applyAlignment="1">
      <alignment horizontal="center" vertical="center"/>
    </xf>
    <xf numFmtId="4" fontId="87" fillId="0" borderId="45" xfId="0" applyNumberFormat="1" applyFont="1" applyBorder="1" applyAlignment="1">
      <alignment horizontal="right" vertical="center" wrapText="1"/>
    </xf>
    <xf numFmtId="0" fontId="67" fillId="9" borderId="45" xfId="0" applyFont="1" applyFill="1" applyBorder="1" applyAlignment="1">
      <alignment horizontal="center" vertical="center" wrapText="1"/>
    </xf>
    <xf numFmtId="4" fontId="67" fillId="0" borderId="45" xfId="0" applyNumberFormat="1" applyFont="1" applyBorder="1" applyAlignment="1">
      <alignment horizontal="right" vertical="center" wrapText="1"/>
    </xf>
    <xf numFmtId="0" fontId="67" fillId="0" borderId="0" xfId="0" applyFont="1"/>
    <xf numFmtId="0" fontId="67" fillId="0" borderId="45" xfId="0" applyFont="1" applyBorder="1" applyAlignment="1">
      <alignment horizontal="center" vertical="center" wrapText="1"/>
    </xf>
    <xf numFmtId="43" fontId="67" fillId="0" borderId="0" xfId="1" applyFont="1"/>
    <xf numFmtId="168" fontId="57" fillId="0" borderId="0" xfId="1" applyNumberFormat="1" applyFont="1" applyBorder="1" applyAlignment="1">
      <alignment horizontal="center" vertical="center" wrapText="1"/>
    </xf>
    <xf numFmtId="168" fontId="58" fillId="0" borderId="0" xfId="1" applyNumberFormat="1" applyFont="1" applyFill="1" applyBorder="1" applyAlignment="1">
      <alignment horizontal="left" vertical="top"/>
    </xf>
    <xf numFmtId="168" fontId="58" fillId="0" borderId="0" xfId="1" applyNumberFormat="1" applyFont="1" applyBorder="1"/>
    <xf numFmtId="168" fontId="57" fillId="0" borderId="0" xfId="1" applyNumberFormat="1" applyFont="1" applyBorder="1" applyAlignment="1">
      <alignment horizontal="left" vertical="top"/>
    </xf>
    <xf numFmtId="168" fontId="58" fillId="0" borderId="0" xfId="1" applyNumberFormat="1" applyFont="1" applyBorder="1" applyAlignment="1">
      <alignment horizontal="left" vertical="top"/>
    </xf>
    <xf numFmtId="168" fontId="57" fillId="0" borderId="0" xfId="1" applyNumberFormat="1" applyFont="1" applyBorder="1"/>
    <xf numFmtId="0" fontId="57" fillId="0" borderId="0" xfId="0" applyFont="1" applyAlignment="1">
      <alignment horizontal="center" vertical="center"/>
    </xf>
    <xf numFmtId="0" fontId="6" fillId="0" borderId="0" xfId="37" applyFont="1" applyAlignment="1">
      <alignment horizontal="center" vertical="center"/>
    </xf>
    <xf numFmtId="0" fontId="6" fillId="0" borderId="0" xfId="37" applyFont="1" applyAlignment="1">
      <alignment vertical="center"/>
    </xf>
    <xf numFmtId="0" fontId="7" fillId="0" borderId="0" xfId="37" applyFont="1" applyAlignment="1">
      <alignment horizontal="center" vertical="center"/>
    </xf>
    <xf numFmtId="43" fontId="6" fillId="0" borderId="0" xfId="1" applyFont="1" applyAlignment="1">
      <alignment vertical="center" wrapText="1"/>
    </xf>
    <xf numFmtId="0" fontId="7" fillId="0" borderId="69" xfId="37" applyFont="1" applyBorder="1" applyAlignment="1">
      <alignment horizontal="center" vertical="center" wrapText="1"/>
    </xf>
    <xf numFmtId="43" fontId="7" fillId="0" borderId="69" xfId="1" applyFont="1" applyBorder="1" applyAlignment="1">
      <alignment horizontal="center" vertical="center" wrapText="1"/>
    </xf>
    <xf numFmtId="176" fontId="6" fillId="0" borderId="69" xfId="37" applyNumberFormat="1" applyFont="1" applyBorder="1" applyAlignment="1">
      <alignment horizontal="center" vertical="center" wrapText="1"/>
    </xf>
    <xf numFmtId="176" fontId="6" fillId="0" borderId="69" xfId="37" applyNumberFormat="1" applyFont="1" applyBorder="1" applyAlignment="1">
      <alignment horizontal="left" vertical="center" wrapText="1"/>
    </xf>
    <xf numFmtId="43" fontId="6" fillId="0" borderId="69" xfId="1" applyFont="1" applyBorder="1" applyAlignment="1">
      <alignment horizontal="right" vertical="center" wrapText="1"/>
    </xf>
    <xf numFmtId="176" fontId="7" fillId="0" borderId="69" xfId="37" applyNumberFormat="1" applyFont="1" applyBorder="1" applyAlignment="1">
      <alignment horizontal="left" vertical="center" wrapText="1"/>
    </xf>
    <xf numFmtId="0" fontId="6" fillId="0" borderId="0" xfId="37" applyFont="1" applyAlignment="1">
      <alignment horizontal="center" vertical="center" wrapText="1"/>
    </xf>
    <xf numFmtId="0" fontId="6" fillId="0" borderId="0" xfId="37" applyFont="1" applyAlignment="1">
      <alignment vertical="center" wrapText="1"/>
    </xf>
    <xf numFmtId="165" fontId="6" fillId="0" borderId="69" xfId="37" applyNumberFormat="1" applyFont="1" applyBorder="1" applyAlignment="1">
      <alignment horizontal="right" vertical="center" wrapText="1"/>
    </xf>
    <xf numFmtId="0" fontId="7" fillId="0" borderId="0" xfId="37" applyFont="1" applyAlignment="1">
      <alignment horizontal="left" vertical="center"/>
    </xf>
    <xf numFmtId="0" fontId="6" fillId="0" borderId="0" xfId="37" applyFont="1" applyAlignment="1">
      <alignment horizontal="left" vertical="center"/>
    </xf>
    <xf numFmtId="0" fontId="6" fillId="0" borderId="0" xfId="0" applyFont="1" applyAlignment="1">
      <alignment horizontal="left" vertical="center"/>
    </xf>
    <xf numFmtId="168" fontId="6" fillId="0" borderId="0" xfId="1" applyNumberFormat="1" applyFont="1" applyAlignment="1">
      <alignment vertical="center"/>
    </xf>
    <xf numFmtId="43" fontId="86" fillId="0" borderId="0" xfId="1" applyFont="1" applyAlignment="1">
      <alignment vertical="center"/>
    </xf>
    <xf numFmtId="165" fontId="6" fillId="0" borderId="0" xfId="37" applyNumberFormat="1" applyFont="1" applyAlignment="1">
      <alignment vertical="center"/>
    </xf>
    <xf numFmtId="168" fontId="57" fillId="0" borderId="0" xfId="1" applyNumberFormat="1" applyFont="1" applyFill="1" applyBorder="1" applyAlignment="1">
      <alignment vertical="center"/>
    </xf>
    <xf numFmtId="0" fontId="70" fillId="0" borderId="0" xfId="0" applyFont="1" applyAlignment="1">
      <alignment horizontal="left" vertical="center"/>
    </xf>
    <xf numFmtId="168" fontId="57" fillId="0" borderId="0" xfId="1" applyNumberFormat="1" applyFont="1" applyFill="1" applyBorder="1" applyAlignment="1">
      <alignment horizontal="center" vertical="center"/>
    </xf>
    <xf numFmtId="168" fontId="57" fillId="0" borderId="0" xfId="1" applyNumberFormat="1" applyFont="1" applyFill="1" applyAlignment="1">
      <alignment horizontal="right" vertical="center"/>
    </xf>
    <xf numFmtId="168" fontId="57" fillId="0" borderId="0" xfId="1" applyNumberFormat="1" applyFont="1" applyFill="1" applyAlignment="1">
      <alignment vertical="center"/>
    </xf>
    <xf numFmtId="0" fontId="57" fillId="0" borderId="1" xfId="0" applyFont="1" applyBorder="1" applyAlignment="1">
      <alignment horizontal="left" vertical="center"/>
    </xf>
    <xf numFmtId="168" fontId="57" fillId="0" borderId="1" xfId="1" applyNumberFormat="1" applyFont="1" applyFill="1" applyBorder="1" applyAlignment="1">
      <alignment horizontal="left" vertical="center"/>
    </xf>
    <xf numFmtId="173" fontId="57" fillId="0" borderId="0" xfId="0" applyNumberFormat="1" applyFont="1" applyAlignment="1">
      <alignment vertical="center"/>
    </xf>
    <xf numFmtId="0" fontId="57" fillId="0" borderId="1" xfId="0" applyFont="1" applyBorder="1" applyAlignment="1">
      <alignment horizontal="justify" vertical="center" wrapText="1"/>
    </xf>
    <xf numFmtId="0" fontId="58" fillId="0" borderId="1" xfId="0" applyFont="1" applyBorder="1" applyAlignment="1">
      <alignment horizontal="left" vertical="center"/>
    </xf>
    <xf numFmtId="168" fontId="58" fillId="0" borderId="3" xfId="1" applyNumberFormat="1" applyFont="1" applyFill="1" applyBorder="1" applyAlignment="1">
      <alignment horizontal="left" vertical="center"/>
    </xf>
    <xf numFmtId="168" fontId="58" fillId="0" borderId="4" xfId="1" applyNumberFormat="1" applyFont="1" applyFill="1" applyBorder="1" applyAlignment="1">
      <alignment horizontal="left" vertical="center"/>
    </xf>
    <xf numFmtId="164" fontId="114" fillId="0" borderId="0" xfId="1" applyNumberFormat="1" applyFont="1" applyFill="1" applyAlignment="1">
      <alignment vertical="center"/>
    </xf>
    <xf numFmtId="164" fontId="81" fillId="0" borderId="0" xfId="1" applyNumberFormat="1" applyFont="1" applyFill="1" applyAlignment="1">
      <alignment vertical="center"/>
    </xf>
    <xf numFmtId="43" fontId="57" fillId="0" borderId="0" xfId="1" applyFont="1" applyAlignment="1">
      <alignment vertical="center"/>
    </xf>
    <xf numFmtId="43" fontId="57" fillId="0" borderId="0" xfId="1" applyFont="1" applyFill="1" applyBorder="1" applyAlignment="1">
      <alignment vertical="center"/>
    </xf>
    <xf numFmtId="43" fontId="6" fillId="8" borderId="69" xfId="1" applyFont="1" applyFill="1" applyBorder="1" applyAlignment="1">
      <alignment horizontal="right" vertical="center" wrapText="1"/>
    </xf>
    <xf numFmtId="0" fontId="7" fillId="8" borderId="69" xfId="37" applyFont="1" applyFill="1" applyBorder="1" applyAlignment="1">
      <alignment horizontal="center" vertical="center" wrapText="1"/>
    </xf>
    <xf numFmtId="43" fontId="7" fillId="8" borderId="69" xfId="1" applyFont="1" applyFill="1" applyBorder="1" applyAlignment="1">
      <alignment horizontal="center" vertical="center" wrapText="1"/>
    </xf>
    <xf numFmtId="43" fontId="6" fillId="8" borderId="0" xfId="1" applyFont="1" applyFill="1" applyAlignment="1">
      <alignment vertical="center"/>
    </xf>
    <xf numFmtId="0" fontId="7" fillId="8" borderId="0" xfId="37" applyFont="1" applyFill="1" applyAlignment="1">
      <alignment horizontal="center" vertical="center"/>
    </xf>
    <xf numFmtId="43" fontId="6" fillId="0" borderId="0" xfId="37" applyNumberFormat="1" applyFont="1" applyAlignment="1">
      <alignment vertical="center"/>
    </xf>
    <xf numFmtId="43" fontId="6" fillId="0" borderId="69" xfId="1" quotePrefix="1" applyFont="1" applyBorder="1" applyAlignment="1">
      <alignment horizontal="right" vertical="center" wrapText="1"/>
    </xf>
    <xf numFmtId="0" fontId="7" fillId="7" borderId="69" xfId="37" applyFont="1" applyFill="1" applyBorder="1" applyAlignment="1">
      <alignment horizontal="center" vertical="center" wrapText="1"/>
    </xf>
    <xf numFmtId="43" fontId="7" fillId="7" borderId="69" xfId="1" applyFont="1" applyFill="1" applyBorder="1" applyAlignment="1">
      <alignment horizontal="center" vertical="center" wrapText="1"/>
    </xf>
    <xf numFmtId="43" fontId="86" fillId="0" borderId="69" xfId="1" applyFont="1" applyBorder="1" applyAlignment="1">
      <alignment horizontal="right" vertical="center" wrapText="1"/>
    </xf>
    <xf numFmtId="43" fontId="7" fillId="0" borderId="69" xfId="1" applyFont="1" applyBorder="1" applyAlignment="1">
      <alignment horizontal="right" vertical="center" wrapText="1"/>
    </xf>
    <xf numFmtId="43" fontId="7" fillId="0" borderId="69" xfId="1" applyFont="1" applyBorder="1" applyAlignment="1">
      <alignment vertical="center" wrapText="1"/>
    </xf>
    <xf numFmtId="0" fontId="9" fillId="0" borderId="0" xfId="0" applyFont="1"/>
    <xf numFmtId="43" fontId="9" fillId="0" borderId="0" xfId="0" applyNumberFormat="1" applyFont="1"/>
    <xf numFmtId="168" fontId="57" fillId="0" borderId="71" xfId="1" applyNumberFormat="1" applyFont="1" applyFill="1" applyBorder="1" applyAlignment="1">
      <alignment horizontal="center" vertical="center"/>
    </xf>
    <xf numFmtId="43" fontId="57" fillId="0" borderId="0" xfId="1" applyFont="1" applyFill="1" applyAlignment="1">
      <alignment horizontal="center" vertical="center"/>
    </xf>
    <xf numFmtId="0" fontId="57" fillId="0" borderId="71" xfId="0" applyFont="1" applyBorder="1" applyAlignment="1">
      <alignment horizontal="left" vertical="center"/>
    </xf>
    <xf numFmtId="168" fontId="57" fillId="0" borderId="71" xfId="1" applyNumberFormat="1" applyFont="1" applyFill="1" applyBorder="1" applyAlignment="1">
      <alignment horizontal="left" vertical="center"/>
    </xf>
    <xf numFmtId="0" fontId="57" fillId="0" borderId="71" xfId="0" applyFont="1" applyBorder="1" applyAlignment="1">
      <alignment horizontal="justify" vertical="center" wrapText="1"/>
    </xf>
    <xf numFmtId="0" fontId="58" fillId="0" borderId="71" xfId="0" applyFont="1" applyBorder="1" applyAlignment="1">
      <alignment horizontal="left" vertical="center"/>
    </xf>
    <xf numFmtId="168" fontId="58" fillId="0" borderId="72" xfId="1" applyNumberFormat="1" applyFont="1" applyFill="1" applyBorder="1" applyAlignment="1">
      <alignment horizontal="left" vertical="center"/>
    </xf>
    <xf numFmtId="168" fontId="58" fillId="0" borderId="71" xfId="1" applyNumberFormat="1" applyFont="1" applyFill="1" applyBorder="1" applyAlignment="1">
      <alignment horizontal="left" vertical="center"/>
    </xf>
    <xf numFmtId="168" fontId="81" fillId="0" borderId="71" xfId="1" applyNumberFormat="1" applyFont="1" applyFill="1" applyBorder="1" applyAlignment="1">
      <alignment horizontal="left" vertical="center"/>
    </xf>
    <xf numFmtId="43" fontId="58" fillId="0" borderId="0" xfId="1" applyFont="1" applyFill="1" applyAlignment="1">
      <alignment horizontal="center" vertical="center"/>
    </xf>
    <xf numFmtId="43" fontId="96" fillId="0" borderId="0" xfId="1" applyFont="1" applyFill="1" applyBorder="1" applyAlignment="1">
      <alignment horizontal="center" vertical="center"/>
    </xf>
    <xf numFmtId="43" fontId="96" fillId="0" borderId="0" xfId="1" applyFont="1" applyFill="1" applyBorder="1" applyAlignment="1">
      <alignment horizontal="left" vertical="center" wrapText="1"/>
    </xf>
    <xf numFmtId="164" fontId="96" fillId="0" borderId="0" xfId="1" applyNumberFormat="1" applyFont="1" applyFill="1" applyBorder="1" applyAlignment="1">
      <alignment horizontal="center" vertical="center"/>
    </xf>
    <xf numFmtId="4" fontId="96" fillId="0" borderId="0" xfId="1" applyNumberFormat="1" applyFont="1" applyFill="1" applyBorder="1" applyAlignment="1">
      <alignment horizontal="center" vertical="center"/>
    </xf>
    <xf numFmtId="43" fontId="96" fillId="0" borderId="0" xfId="1" applyFont="1" applyFill="1" applyAlignment="1">
      <alignment vertical="center"/>
    </xf>
    <xf numFmtId="0" fontId="96" fillId="0" borderId="0" xfId="0" applyFont="1" applyAlignment="1">
      <alignment vertical="center"/>
    </xf>
    <xf numFmtId="4" fontId="96" fillId="0" borderId="0" xfId="0" applyNumberFormat="1" applyFont="1" applyAlignment="1">
      <alignment vertical="center"/>
    </xf>
    <xf numFmtId="0" fontId="57" fillId="0" borderId="71" xfId="0" applyFont="1" applyBorder="1" applyAlignment="1">
      <alignment horizontal="center" vertical="center"/>
    </xf>
    <xf numFmtId="0" fontId="57" fillId="0" borderId="71" xfId="0" applyFont="1" applyBorder="1" applyAlignment="1">
      <alignment horizontal="center" vertical="center" wrapText="1"/>
    </xf>
    <xf numFmtId="0" fontId="58" fillId="0" borderId="71" xfId="0" applyFont="1" applyBorder="1" applyAlignment="1">
      <alignment horizontal="center" vertical="center"/>
    </xf>
    <xf numFmtId="0" fontId="58" fillId="0" borderId="71" xfId="0" applyFont="1" applyBorder="1" applyAlignment="1">
      <alignment horizontal="left" vertical="center" wrapText="1"/>
    </xf>
    <xf numFmtId="168" fontId="58" fillId="0" borderId="71" xfId="1" applyNumberFormat="1" applyFont="1" applyFill="1" applyBorder="1" applyAlignment="1">
      <alignment horizontal="center" vertical="center"/>
    </xf>
    <xf numFmtId="0" fontId="57" fillId="0" borderId="71" xfId="0" applyFont="1" applyBorder="1" applyAlignment="1">
      <alignment horizontal="left" vertical="center" wrapText="1"/>
    </xf>
    <xf numFmtId="168" fontId="58" fillId="0" borderId="0" xfId="0" applyNumberFormat="1" applyFont="1" applyAlignment="1">
      <alignment vertical="center"/>
    </xf>
    <xf numFmtId="43" fontId="58" fillId="0" borderId="0" xfId="0" applyNumberFormat="1" applyFont="1" applyAlignment="1">
      <alignment vertical="center"/>
    </xf>
    <xf numFmtId="43" fontId="116" fillId="0" borderId="0" xfId="1" applyFont="1" applyFill="1" applyAlignment="1">
      <alignment vertical="center"/>
    </xf>
    <xf numFmtId="0" fontId="116" fillId="0" borderId="0" xfId="0" applyFont="1" applyAlignment="1">
      <alignment vertical="center"/>
    </xf>
    <xf numFmtId="0" fontId="119" fillId="0" borderId="0" xfId="0" applyFont="1"/>
    <xf numFmtId="0" fontId="120" fillId="0" borderId="0" xfId="0" applyFont="1" applyAlignment="1">
      <alignment vertical="top" wrapText="1"/>
    </xf>
    <xf numFmtId="0" fontId="119" fillId="0" borderId="69" xfId="0" applyFont="1" applyBorder="1" applyAlignment="1">
      <alignment horizontal="center" vertical="center" wrapText="1"/>
    </xf>
    <xf numFmtId="176" fontId="120" fillId="0" borderId="69" xfId="0" applyNumberFormat="1" applyFont="1" applyBorder="1" applyAlignment="1">
      <alignment horizontal="left" vertical="center" wrapText="1"/>
    </xf>
    <xf numFmtId="165" fontId="120" fillId="0" borderId="69" xfId="0" applyNumberFormat="1" applyFont="1" applyBorder="1" applyAlignment="1">
      <alignment horizontal="right" vertical="center" wrapText="1"/>
    </xf>
    <xf numFmtId="176" fontId="119" fillId="0" borderId="69" xfId="0" applyNumberFormat="1" applyFont="1" applyBorder="1" applyAlignment="1">
      <alignment horizontal="left" vertical="center" wrapText="1"/>
    </xf>
    <xf numFmtId="165" fontId="0" fillId="0" borderId="0" xfId="0" applyNumberFormat="1"/>
    <xf numFmtId="165" fontId="120" fillId="8" borderId="69" xfId="0" applyNumberFormat="1" applyFont="1" applyFill="1" applyBorder="1" applyAlignment="1">
      <alignment horizontal="right" vertical="center" wrapText="1"/>
    </xf>
    <xf numFmtId="168" fontId="0" fillId="0" borderId="0" xfId="1" applyNumberFormat="1" applyFont="1"/>
    <xf numFmtId="164" fontId="0" fillId="0" borderId="0" xfId="1" applyNumberFormat="1" applyFont="1"/>
    <xf numFmtId="165" fontId="119" fillId="0" borderId="69" xfId="0" applyNumberFormat="1" applyFont="1" applyBorder="1" applyAlignment="1">
      <alignment horizontal="right" vertical="center" wrapText="1"/>
    </xf>
    <xf numFmtId="4" fontId="0" fillId="0" borderId="0" xfId="0" applyNumberFormat="1"/>
    <xf numFmtId="179" fontId="0" fillId="0" borderId="0" xfId="0" applyNumberFormat="1"/>
    <xf numFmtId="0" fontId="119" fillId="15" borderId="0" xfId="0" applyFont="1" applyFill="1"/>
    <xf numFmtId="0" fontId="0" fillId="15" borderId="0" xfId="0" applyFill="1"/>
    <xf numFmtId="0" fontId="5" fillId="0" borderId="0" xfId="0" applyFont="1"/>
    <xf numFmtId="182" fontId="0" fillId="0" borderId="0" xfId="0" applyNumberFormat="1"/>
    <xf numFmtId="176" fontId="120" fillId="8" borderId="69" xfId="0" applyNumberFormat="1" applyFont="1" applyFill="1" applyBorder="1" applyAlignment="1">
      <alignment horizontal="left" vertical="center" wrapText="1"/>
    </xf>
    <xf numFmtId="176" fontId="57" fillId="0" borderId="0" xfId="0" applyNumberFormat="1" applyFont="1" applyAlignment="1">
      <alignment vertical="center"/>
    </xf>
    <xf numFmtId="165" fontId="122" fillId="0" borderId="69" xfId="0" applyNumberFormat="1" applyFont="1" applyBorder="1" applyAlignment="1">
      <alignment horizontal="right" vertical="center" wrapText="1"/>
    </xf>
    <xf numFmtId="0" fontId="119" fillId="8" borderId="0" xfId="0" applyFont="1" applyFill="1"/>
    <xf numFmtId="2" fontId="0" fillId="0" borderId="0" xfId="0" applyNumberFormat="1"/>
    <xf numFmtId="165" fontId="120" fillId="0" borderId="73" xfId="0" applyNumberFormat="1" applyFont="1" applyBorder="1" applyAlignment="1">
      <alignment horizontal="right" vertical="center" wrapText="1"/>
    </xf>
    <xf numFmtId="183" fontId="0" fillId="0" borderId="0" xfId="0" applyNumberFormat="1"/>
    <xf numFmtId="43" fontId="5" fillId="0" borderId="0" xfId="74" applyFont="1" applyFill="1" applyAlignment="1" applyProtection="1">
      <protection locked="0"/>
    </xf>
    <xf numFmtId="164" fontId="58" fillId="0" borderId="1" xfId="1" applyNumberFormat="1" applyFont="1" applyFill="1" applyBorder="1" applyAlignment="1">
      <alignment horizontal="center" vertical="center"/>
    </xf>
    <xf numFmtId="164" fontId="57" fillId="0" borderId="1" xfId="1" applyNumberFormat="1" applyFont="1" applyFill="1" applyBorder="1" applyAlignment="1">
      <alignment horizontal="center" vertical="center"/>
    </xf>
    <xf numFmtId="164" fontId="58" fillId="0" borderId="1" xfId="1" applyNumberFormat="1" applyFont="1" applyBorder="1" applyAlignment="1">
      <alignment horizontal="left" vertical="top"/>
    </xf>
    <xf numFmtId="164" fontId="57" fillId="0" borderId="1" xfId="1" applyNumberFormat="1" applyFont="1" applyBorder="1" applyAlignment="1">
      <alignment horizontal="left" vertical="top"/>
    </xf>
    <xf numFmtId="164" fontId="57" fillId="0" borderId="1" xfId="1" applyNumberFormat="1" applyFont="1" applyFill="1" applyBorder="1" applyAlignment="1">
      <alignment horizontal="left" vertical="center"/>
    </xf>
    <xf numFmtId="164" fontId="58" fillId="0" borderId="2" xfId="1" applyNumberFormat="1" applyFont="1" applyFill="1" applyBorder="1" applyAlignment="1">
      <alignment horizontal="left" vertical="center"/>
    </xf>
    <xf numFmtId="164" fontId="58" fillId="0" borderId="3" xfId="1" applyNumberFormat="1" applyFont="1" applyFill="1" applyBorder="1" applyAlignment="1">
      <alignment horizontal="left" vertical="center"/>
    </xf>
    <xf numFmtId="164" fontId="58" fillId="0" borderId="1" xfId="1" applyNumberFormat="1" applyFont="1" applyFill="1" applyBorder="1" applyAlignment="1">
      <alignment horizontal="left" vertical="center"/>
    </xf>
    <xf numFmtId="164" fontId="58" fillId="0" borderId="4" xfId="1" applyNumberFormat="1" applyFont="1" applyFill="1" applyBorder="1" applyAlignment="1">
      <alignment horizontal="left" vertical="center"/>
    </xf>
    <xf numFmtId="164" fontId="58" fillId="0" borderId="1" xfId="1" applyNumberFormat="1" applyFont="1" applyBorder="1"/>
    <xf numFmtId="164" fontId="57" fillId="0" borderId="1" xfId="1" applyNumberFormat="1" applyFont="1" applyBorder="1" applyAlignment="1">
      <alignment horizontal="left" vertical="top" wrapText="1" indent="1"/>
    </xf>
    <xf numFmtId="164" fontId="58" fillId="0" borderId="1" xfId="1" applyNumberFormat="1" applyFont="1" applyBorder="1" applyAlignment="1">
      <alignment horizontal="left" vertical="top" wrapText="1"/>
    </xf>
    <xf numFmtId="164" fontId="58" fillId="0" borderId="1" xfId="1" applyNumberFormat="1" applyFont="1" applyFill="1" applyBorder="1" applyAlignment="1">
      <alignment horizontal="left" vertical="top"/>
    </xf>
    <xf numFmtId="164" fontId="57" fillId="0" borderId="1" xfId="1" applyNumberFormat="1" applyFont="1" applyBorder="1" applyAlignment="1">
      <alignment horizontal="left" vertical="top" wrapText="1" indent="2"/>
    </xf>
    <xf numFmtId="164" fontId="57" fillId="0" borderId="1" xfId="1" applyNumberFormat="1" applyFont="1" applyBorder="1" applyAlignment="1">
      <alignment horizontal="left" vertical="top" wrapText="1"/>
    </xf>
    <xf numFmtId="43" fontId="57" fillId="0" borderId="1" xfId="1" applyFont="1" applyFill="1" applyBorder="1" applyAlignment="1">
      <alignment horizontal="left" vertical="center"/>
    </xf>
    <xf numFmtId="0" fontId="57" fillId="0" borderId="71" xfId="0" applyFont="1" applyBorder="1" applyAlignment="1">
      <alignment horizontal="left" vertical="top" wrapText="1" indent="1"/>
    </xf>
    <xf numFmtId="0" fontId="57" fillId="0" borderId="0" xfId="0" applyFont="1" applyAlignment="1">
      <alignment horizontal="left" vertical="top"/>
    </xf>
    <xf numFmtId="168" fontId="57" fillId="0" borderId="0" xfId="1" applyNumberFormat="1" applyFont="1" applyFill="1"/>
    <xf numFmtId="168" fontId="57" fillId="0" borderId="0" xfId="1" applyNumberFormat="1" applyFont="1" applyFill="1" applyBorder="1" applyAlignment="1">
      <alignment horizontal="right" vertical="top"/>
    </xf>
    <xf numFmtId="168" fontId="57" fillId="0" borderId="0" xfId="1" applyNumberFormat="1" applyFont="1" applyFill="1" applyAlignment="1">
      <alignment horizontal="right"/>
    </xf>
    <xf numFmtId="168" fontId="57" fillId="0" borderId="1" xfId="1" applyNumberFormat="1" applyFont="1" applyFill="1" applyBorder="1" applyAlignment="1">
      <alignment horizontal="center" vertical="center" wrapText="1"/>
    </xf>
    <xf numFmtId="164" fontId="58" fillId="0" borderId="1" xfId="1" applyNumberFormat="1" applyFont="1" applyFill="1" applyBorder="1"/>
    <xf numFmtId="164" fontId="57" fillId="0" borderId="1" xfId="1" applyNumberFormat="1" applyFont="1" applyFill="1" applyBorder="1" applyAlignment="1">
      <alignment horizontal="left" vertical="top"/>
    </xf>
    <xf numFmtId="0" fontId="19" fillId="0" borderId="1" xfId="0" applyFont="1" applyBorder="1" applyAlignment="1">
      <alignment horizontal="center" vertical="top"/>
    </xf>
    <xf numFmtId="0" fontId="19" fillId="0" borderId="1" xfId="0" applyFont="1" applyBorder="1" applyAlignment="1">
      <alignment horizontal="center" vertical="center"/>
    </xf>
    <xf numFmtId="0" fontId="17" fillId="5" borderId="0" xfId="0" applyFont="1" applyFill="1" applyAlignment="1">
      <alignment vertical="center"/>
    </xf>
    <xf numFmtId="0" fontId="18" fillId="5" borderId="0" xfId="0" applyFont="1" applyFill="1" applyAlignment="1">
      <alignment vertical="center"/>
    </xf>
    <xf numFmtId="0" fontId="20" fillId="0" borderId="0" xfId="0" applyFont="1" applyAlignment="1">
      <alignment horizontal="center" vertical="center"/>
    </xf>
    <xf numFmtId="0" fontId="19" fillId="0" borderId="1" xfId="0" applyFont="1" applyBorder="1" applyAlignment="1">
      <alignment horizontal="center" vertical="center" wrapText="1"/>
    </xf>
    <xf numFmtId="167" fontId="34" fillId="0" borderId="20" xfId="64" applyNumberFormat="1" applyFont="1" applyBorder="1" applyAlignment="1">
      <alignment horizontal="center" vertical="center"/>
    </xf>
    <xf numFmtId="167" fontId="34" fillId="0" borderId="26" xfId="64" applyNumberFormat="1" applyFont="1" applyBorder="1" applyAlignment="1">
      <alignment horizontal="center" vertical="center"/>
    </xf>
    <xf numFmtId="167" fontId="34" fillId="0" borderId="21" xfId="64" applyNumberFormat="1" applyFont="1" applyBorder="1" applyAlignment="1">
      <alignment horizontal="center" vertical="center"/>
    </xf>
    <xf numFmtId="167" fontId="34" fillId="0" borderId="24" xfId="64" applyNumberFormat="1" applyFont="1" applyBorder="1" applyAlignment="1">
      <alignment horizontal="center" vertical="center"/>
    </xf>
    <xf numFmtId="167" fontId="34" fillId="0" borderId="33" xfId="64" applyNumberFormat="1" applyFont="1" applyBorder="1" applyAlignment="1">
      <alignment horizontal="center" vertical="center"/>
    </xf>
    <xf numFmtId="167" fontId="34" fillId="0" borderId="29" xfId="64" applyNumberFormat="1" applyFont="1" applyBorder="1" applyAlignment="1">
      <alignment horizontal="center" vertical="center"/>
    </xf>
    <xf numFmtId="43" fontId="34" fillId="4" borderId="20" xfId="1" applyFont="1" applyFill="1" applyBorder="1" applyAlignment="1">
      <alignment horizontal="center" vertical="center"/>
    </xf>
    <xf numFmtId="43" fontId="34" fillId="4" borderId="21" xfId="1" applyFont="1" applyFill="1" applyBorder="1" applyAlignment="1">
      <alignment horizontal="center" vertical="center"/>
    </xf>
    <xf numFmtId="167" fontId="34" fillId="4" borderId="20" xfId="64" applyNumberFormat="1" applyFont="1" applyFill="1" applyBorder="1" applyAlignment="1">
      <alignment horizontal="center" vertical="center"/>
    </xf>
    <xf numFmtId="167" fontId="34" fillId="4" borderId="21" xfId="64" applyNumberFormat="1" applyFont="1" applyFill="1" applyBorder="1" applyAlignment="1">
      <alignment horizontal="center" vertical="center"/>
    </xf>
    <xf numFmtId="0" fontId="115" fillId="0" borderId="0" xfId="0" applyFont="1" applyAlignment="1">
      <alignment horizontal="center" vertical="center" wrapText="1"/>
    </xf>
    <xf numFmtId="49" fontId="67" fillId="0" borderId="0" xfId="0" applyNumberFormat="1" applyFont="1" applyAlignment="1">
      <alignment horizontal="right" vertical="center" wrapText="1"/>
    </xf>
    <xf numFmtId="0" fontId="67" fillId="0" borderId="44" xfId="0" applyFont="1" applyBorder="1" applyAlignment="1">
      <alignment horizontal="right" vertical="center" wrapText="1"/>
    </xf>
    <xf numFmtId="22" fontId="67" fillId="0" borderId="44" xfId="0" applyNumberFormat="1" applyFont="1" applyBorder="1" applyAlignment="1">
      <alignment horizontal="left" vertical="center" wrapText="1"/>
    </xf>
    <xf numFmtId="49" fontId="67" fillId="0" borderId="45" xfId="0" applyNumberFormat="1" applyFont="1" applyBorder="1" applyAlignment="1">
      <alignment horizontal="left" vertical="center" wrapText="1"/>
    </xf>
    <xf numFmtId="0" fontId="73" fillId="0" borderId="0" xfId="0" applyFont="1" applyAlignment="1">
      <alignment horizontal="center" vertical="center" wrapText="1"/>
    </xf>
    <xf numFmtId="49" fontId="67" fillId="0" borderId="0" xfId="0" applyNumberFormat="1" applyFont="1" applyAlignment="1">
      <alignment horizontal="left" vertical="center" wrapText="1"/>
    </xf>
    <xf numFmtId="0" fontId="67" fillId="0" borderId="0" xfId="0" applyFont="1" applyAlignment="1">
      <alignment horizontal="right" vertical="center" wrapText="1"/>
    </xf>
    <xf numFmtId="0" fontId="67" fillId="9" borderId="45" xfId="0" applyFont="1" applyFill="1" applyBorder="1" applyAlignment="1">
      <alignment horizontal="center" vertical="center" wrapText="1"/>
    </xf>
    <xf numFmtId="0" fontId="57" fillId="0" borderId="10"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10" xfId="0" applyFont="1" applyBorder="1" applyAlignment="1">
      <alignment horizontal="center" vertical="center"/>
    </xf>
    <xf numFmtId="0" fontId="57" fillId="0" borderId="3" xfId="0" applyFont="1" applyBorder="1" applyAlignment="1">
      <alignment horizontal="center" vertical="center"/>
    </xf>
    <xf numFmtId="168" fontId="57" fillId="0" borderId="1" xfId="1" applyNumberFormat="1" applyFont="1" applyFill="1" applyBorder="1" applyAlignment="1">
      <alignment horizontal="center" vertical="center"/>
    </xf>
    <xf numFmtId="0" fontId="57" fillId="0" borderId="70" xfId="0" applyFont="1" applyBorder="1" applyAlignment="1">
      <alignment horizontal="center" vertical="center" wrapText="1"/>
    </xf>
    <xf numFmtId="0" fontId="57" fillId="0" borderId="70" xfId="0" applyFont="1" applyBorder="1" applyAlignment="1">
      <alignment horizontal="center" vertical="center"/>
    </xf>
    <xf numFmtId="168" fontId="57" fillId="0" borderId="71" xfId="1" applyNumberFormat="1" applyFont="1" applyFill="1" applyBorder="1" applyAlignment="1">
      <alignment horizontal="center" vertical="center"/>
    </xf>
    <xf numFmtId="0" fontId="57" fillId="0" borderId="0" xfId="0" applyFont="1" applyAlignment="1">
      <alignment horizontal="center" vertical="top"/>
    </xf>
    <xf numFmtId="0" fontId="57" fillId="0" borderId="10" xfId="0" applyFont="1" applyBorder="1" applyAlignment="1">
      <alignment horizontal="center" vertical="top"/>
    </xf>
    <xf numFmtId="0" fontId="57" fillId="0" borderId="34" xfId="0" applyFont="1" applyBorder="1" applyAlignment="1">
      <alignment horizontal="center" vertical="top"/>
    </xf>
    <xf numFmtId="0" fontId="57" fillId="0" borderId="3" xfId="0" applyFont="1" applyBorder="1" applyAlignment="1">
      <alignment horizontal="center" vertical="top"/>
    </xf>
    <xf numFmtId="22" fontId="61" fillId="0" borderId="44" xfId="0" applyNumberFormat="1" applyFont="1" applyBorder="1" applyAlignment="1">
      <alignment horizontal="left" vertical="center" wrapText="1"/>
    </xf>
    <xf numFmtId="0" fontId="61" fillId="0" borderId="0" xfId="0" applyFont="1" applyAlignment="1">
      <alignment horizontal="right" vertical="center" wrapText="1"/>
    </xf>
    <xf numFmtId="49" fontId="61" fillId="0" borderId="0" xfId="0" applyNumberFormat="1" applyFont="1" applyAlignment="1">
      <alignment horizontal="right" vertical="center" wrapText="1"/>
    </xf>
    <xf numFmtId="49" fontId="61" fillId="0" borderId="0" xfId="0" applyNumberFormat="1" applyFont="1" applyAlignment="1">
      <alignment horizontal="left" vertical="center" wrapText="1"/>
    </xf>
    <xf numFmtId="4" fontId="67" fillId="0" borderId="45" xfId="0" applyNumberFormat="1" applyFont="1" applyBorder="1" applyAlignment="1">
      <alignment horizontal="right" vertical="center" wrapText="1"/>
    </xf>
    <xf numFmtId="4" fontId="67" fillId="0" borderId="40" xfId="0" applyNumberFormat="1" applyFont="1" applyBorder="1" applyAlignment="1">
      <alignment horizontal="right" vertical="center" wrapText="1"/>
    </xf>
    <xf numFmtId="49" fontId="67" fillId="0" borderId="0" xfId="0" applyNumberFormat="1" applyFont="1" applyAlignment="1">
      <alignment horizontal="right" wrapText="1"/>
    </xf>
    <xf numFmtId="0" fontId="67" fillId="0" borderId="0" xfId="0" applyFont="1" applyAlignment="1">
      <alignment horizontal="center" wrapText="1"/>
    </xf>
    <xf numFmtId="49" fontId="67" fillId="0" borderId="0" xfId="0" applyNumberFormat="1" applyFont="1" applyAlignment="1">
      <alignment horizontal="left" wrapText="1"/>
    </xf>
    <xf numFmtId="49" fontId="87" fillId="0" borderId="45" xfId="0" applyNumberFormat="1" applyFont="1" applyBorder="1" applyAlignment="1">
      <alignment horizontal="left" vertical="center" wrapText="1"/>
    </xf>
    <xf numFmtId="4" fontId="87" fillId="0" borderId="45" xfId="0" applyNumberFormat="1" applyFont="1" applyBorder="1" applyAlignment="1">
      <alignment horizontal="right" vertical="center" wrapText="1"/>
    </xf>
    <xf numFmtId="4" fontId="87" fillId="0" borderId="40" xfId="0" applyNumberFormat="1" applyFont="1" applyBorder="1" applyAlignment="1">
      <alignment horizontal="right" vertical="center" wrapText="1"/>
    </xf>
    <xf numFmtId="0" fontId="67" fillId="9" borderId="40" xfId="0" applyFont="1" applyFill="1" applyBorder="1" applyAlignment="1">
      <alignment horizontal="center" vertical="center" wrapText="1"/>
    </xf>
    <xf numFmtId="0" fontId="57" fillId="0" borderId="0" xfId="0" applyFont="1" applyAlignment="1">
      <alignment horizontal="center" vertical="center"/>
    </xf>
    <xf numFmtId="0" fontId="0" fillId="0" borderId="0" xfId="0"/>
    <xf numFmtId="0" fontId="6" fillId="0" borderId="0" xfId="37" applyFont="1" applyAlignment="1">
      <alignment vertical="center"/>
    </xf>
    <xf numFmtId="0" fontId="7" fillId="2" borderId="7" xfId="54" applyFont="1" applyFill="1" applyBorder="1" applyAlignment="1">
      <alignment horizontal="center" vertical="center" wrapText="1"/>
    </xf>
    <xf numFmtId="0" fontId="7" fillId="2" borderId="8" xfId="54" applyFont="1" applyFill="1" applyBorder="1" applyAlignment="1">
      <alignment horizontal="center" vertical="center" wrapText="1"/>
    </xf>
    <xf numFmtId="0" fontId="7" fillId="2" borderId="9" xfId="54" applyFont="1" applyFill="1" applyBorder="1" applyAlignment="1">
      <alignment horizontal="center" vertical="center" wrapText="1"/>
    </xf>
    <xf numFmtId="43" fontId="7" fillId="2" borderId="7" xfId="1" applyFont="1" applyFill="1" applyBorder="1" applyAlignment="1" applyProtection="1">
      <alignment horizontal="center" vertical="center" wrapText="1"/>
    </xf>
    <xf numFmtId="43" fontId="7" fillId="2" borderId="9" xfId="1" applyFont="1" applyFill="1" applyBorder="1" applyAlignment="1" applyProtection="1">
      <alignment horizontal="center" vertical="center" wrapText="1"/>
    </xf>
    <xf numFmtId="0" fontId="6" fillId="2" borderId="7" xfId="54" applyFont="1" applyFill="1" applyBorder="1" applyAlignment="1">
      <alignment horizontal="left" vertical="center"/>
    </xf>
    <xf numFmtId="0" fontId="6" fillId="2" borderId="8" xfId="54" applyFont="1" applyFill="1" applyBorder="1" applyAlignment="1">
      <alignment horizontal="left" vertical="center"/>
    </xf>
    <xf numFmtId="0" fontId="6" fillId="2" borderId="9" xfId="54" applyFont="1" applyFill="1" applyBorder="1" applyAlignment="1">
      <alignment horizontal="left" vertical="center"/>
    </xf>
    <xf numFmtId="43" fontId="6" fillId="2" borderId="7" xfId="1" applyFont="1" applyFill="1" applyBorder="1" applyAlignment="1" applyProtection="1">
      <alignment horizontal="right" vertical="center"/>
    </xf>
    <xf numFmtId="43" fontId="6" fillId="2" borderId="9" xfId="1" applyFont="1" applyFill="1" applyBorder="1" applyAlignment="1" applyProtection="1">
      <alignment horizontal="right" vertical="center"/>
    </xf>
    <xf numFmtId="0" fontId="7" fillId="2" borderId="0" xfId="54" applyFont="1" applyFill="1" applyAlignment="1" applyProtection="1">
      <alignment horizontal="center" vertical="center" wrapText="1"/>
      <protection hidden="1"/>
    </xf>
    <xf numFmtId="0" fontId="7" fillId="2" borderId="12" xfId="54" applyFont="1" applyFill="1" applyBorder="1" applyAlignment="1" applyProtection="1">
      <alignment horizontal="center" vertical="center"/>
      <protection hidden="1"/>
    </xf>
    <xf numFmtId="0" fontId="22" fillId="2" borderId="11" xfId="54" applyFont="1" applyFill="1" applyBorder="1" applyAlignment="1" applyProtection="1">
      <alignment horizontal="center" vertical="center"/>
      <protection hidden="1"/>
    </xf>
    <xf numFmtId="43" fontId="6" fillId="2" borderId="12" xfId="1" applyFont="1" applyFill="1" applyBorder="1" applyAlignment="1" applyProtection="1">
      <alignment horizontal="center" vertical="center"/>
    </xf>
    <xf numFmtId="0" fontId="6" fillId="2" borderId="0" xfId="54" applyFont="1" applyFill="1" applyAlignment="1">
      <alignment horizontal="left" vertical="center" wrapText="1"/>
    </xf>
    <xf numFmtId="0" fontId="7" fillId="2" borderId="5" xfId="54" applyFont="1" applyFill="1" applyBorder="1" applyAlignment="1">
      <alignment horizontal="left" vertical="center"/>
    </xf>
    <xf numFmtId="43" fontId="6" fillId="2" borderId="8" xfId="1" applyFont="1" applyFill="1" applyBorder="1" applyAlignment="1" applyProtection="1">
      <alignment horizontal="center" vertical="center"/>
    </xf>
    <xf numFmtId="0" fontId="7" fillId="2" borderId="7" xfId="54" applyFont="1" applyFill="1" applyBorder="1" applyAlignment="1">
      <alignment horizontal="center" vertical="center"/>
    </xf>
    <xf numFmtId="0" fontId="7" fillId="2" borderId="8" xfId="54" applyFont="1" applyFill="1" applyBorder="1" applyAlignment="1">
      <alignment horizontal="center" vertical="center"/>
    </xf>
    <xf numFmtId="0" fontId="7" fillId="2" borderId="9" xfId="54" applyFont="1" applyFill="1" applyBorder="1" applyAlignment="1">
      <alignment horizontal="center" vertical="center"/>
    </xf>
    <xf numFmtId="43" fontId="7" fillId="2" borderId="7" xfId="1" applyFont="1" applyFill="1" applyBorder="1" applyAlignment="1" applyProtection="1">
      <alignment horizontal="right" vertical="center"/>
    </xf>
    <xf numFmtId="43" fontId="7" fillId="2" borderId="9" xfId="1" applyFont="1" applyFill="1" applyBorder="1" applyAlignment="1" applyProtection="1">
      <alignment horizontal="right" vertical="center"/>
    </xf>
    <xf numFmtId="43" fontId="7" fillId="2" borderId="1" xfId="1" applyFont="1" applyFill="1" applyBorder="1" applyAlignment="1" applyProtection="1">
      <alignment horizontal="center" vertical="center"/>
    </xf>
    <xf numFmtId="43" fontId="7" fillId="2" borderId="1" xfId="1" applyFont="1" applyFill="1" applyBorder="1" applyAlignment="1" applyProtection="1">
      <alignment horizontal="center" vertical="center" wrapText="1"/>
    </xf>
    <xf numFmtId="43" fontId="6" fillId="2" borderId="7" xfId="1" applyFont="1" applyFill="1" applyBorder="1" applyAlignment="1" applyProtection="1">
      <alignment horizontal="center" vertical="center"/>
    </xf>
    <xf numFmtId="43" fontId="6" fillId="2" borderId="9" xfId="1" applyFont="1" applyFill="1" applyBorder="1" applyAlignment="1" applyProtection="1">
      <alignment horizontal="center" vertical="center"/>
    </xf>
    <xf numFmtId="43" fontId="6" fillId="2" borderId="1" xfId="1" applyFont="1" applyFill="1" applyBorder="1" applyAlignment="1" applyProtection="1">
      <alignment horizontal="right" vertical="center"/>
    </xf>
    <xf numFmtId="0" fontId="7" fillId="2" borderId="7" xfId="54" applyFont="1" applyFill="1" applyBorder="1" applyAlignment="1">
      <alignment horizontal="left" vertical="center"/>
    </xf>
    <xf numFmtId="0" fontId="7" fillId="2" borderId="9" xfId="54" applyFont="1" applyFill="1" applyBorder="1" applyAlignment="1">
      <alignment horizontal="left" vertical="center"/>
    </xf>
    <xf numFmtId="43" fontId="6" fillId="2" borderId="1" xfId="1" applyFont="1" applyFill="1" applyBorder="1" applyAlignment="1" applyProtection="1">
      <alignment horizontal="left" vertical="center"/>
    </xf>
    <xf numFmtId="43" fontId="7" fillId="2" borderId="7" xfId="1" applyFont="1" applyFill="1" applyBorder="1" applyAlignment="1" applyProtection="1">
      <alignment horizontal="center" vertical="center"/>
    </xf>
    <xf numFmtId="43" fontId="7" fillId="2" borderId="8" xfId="1" applyFont="1" applyFill="1" applyBorder="1" applyAlignment="1" applyProtection="1">
      <alignment horizontal="center" vertical="center"/>
    </xf>
    <xf numFmtId="43" fontId="7" fillId="2" borderId="9" xfId="1" applyFont="1" applyFill="1" applyBorder="1" applyAlignment="1" applyProtection="1">
      <alignment horizontal="center" vertical="center"/>
    </xf>
    <xf numFmtId="43" fontId="6" fillId="2" borderId="11" xfId="1" applyFont="1" applyFill="1" applyBorder="1" applyAlignment="1" applyProtection="1">
      <alignment horizontal="center" vertical="center"/>
    </xf>
    <xf numFmtId="43" fontId="7" fillId="2" borderId="1" xfId="1" applyFont="1" applyFill="1" applyBorder="1" applyAlignment="1" applyProtection="1">
      <alignment horizontal="right" vertical="center"/>
    </xf>
    <xf numFmtId="0" fontId="6" fillId="2" borderId="7" xfId="54" applyFont="1" applyFill="1" applyBorder="1" applyAlignment="1">
      <alignment horizontal="left" vertical="center" wrapText="1"/>
    </xf>
    <xf numFmtId="0" fontId="6" fillId="2" borderId="8" xfId="54" applyFont="1" applyFill="1" applyBorder="1" applyAlignment="1">
      <alignment horizontal="left" vertical="center" wrapText="1"/>
    </xf>
    <xf numFmtId="0" fontId="6" fillId="2" borderId="9" xfId="54" applyFont="1" applyFill="1" applyBorder="1" applyAlignment="1">
      <alignment horizontal="left" vertical="center" wrapText="1"/>
    </xf>
    <xf numFmtId="0" fontId="25" fillId="2" borderId="0" xfId="54" applyFont="1" applyFill="1" applyAlignment="1">
      <alignment horizontal="left" vertical="center" wrapText="1"/>
    </xf>
    <xf numFmtId="0" fontId="25" fillId="2" borderId="35" xfId="54" applyFont="1" applyFill="1" applyBorder="1" applyAlignment="1">
      <alignment horizontal="left" vertical="center" wrapText="1"/>
    </xf>
    <xf numFmtId="0" fontId="7" fillId="2" borderId="1" xfId="54" applyFont="1" applyFill="1" applyBorder="1" applyAlignment="1">
      <alignment horizontal="center" vertical="center"/>
    </xf>
    <xf numFmtId="0" fontId="6" fillId="2" borderId="1" xfId="54" applyFont="1" applyFill="1" applyBorder="1" applyAlignment="1">
      <alignment horizontal="left" vertical="center"/>
    </xf>
    <xf numFmtId="43" fontId="6" fillId="2" borderId="1" xfId="1" applyFont="1" applyFill="1" applyBorder="1" applyAlignment="1" applyProtection="1">
      <alignment horizontal="center" vertical="center"/>
    </xf>
    <xf numFmtId="0" fontId="6" fillId="2" borderId="1" xfId="54" applyFont="1" applyFill="1" applyBorder="1" applyAlignment="1">
      <alignment horizontal="left" vertical="center" wrapText="1"/>
    </xf>
    <xf numFmtId="0" fontId="25" fillId="2" borderId="5" xfId="54" applyFont="1" applyFill="1" applyBorder="1" applyAlignment="1">
      <alignment horizontal="left" vertical="center" wrapText="1"/>
    </xf>
    <xf numFmtId="0" fontId="7" fillId="3" borderId="0" xfId="54" applyFont="1" applyFill="1" applyAlignment="1">
      <alignment horizontal="left" vertical="center" wrapText="1"/>
    </xf>
    <xf numFmtId="0" fontId="7" fillId="2" borderId="10" xfId="54" applyFont="1" applyFill="1" applyBorder="1" applyAlignment="1">
      <alignment horizontal="center" vertical="center"/>
    </xf>
    <xf numFmtId="0" fontId="7" fillId="2" borderId="3" xfId="54" applyFont="1" applyFill="1" applyBorder="1" applyAlignment="1">
      <alignment horizontal="center" vertical="center"/>
    </xf>
    <xf numFmtId="43" fontId="7" fillId="2" borderId="10" xfId="1" applyFont="1" applyFill="1" applyBorder="1" applyAlignment="1" applyProtection="1">
      <alignment horizontal="center" vertical="center"/>
    </xf>
    <xf numFmtId="43" fontId="7" fillId="2" borderId="3" xfId="1" applyFont="1" applyFill="1" applyBorder="1" applyAlignment="1" applyProtection="1">
      <alignment horizontal="center" vertical="center"/>
    </xf>
    <xf numFmtId="0" fontId="6" fillId="2" borderId="12" xfId="54" applyFont="1" applyFill="1" applyBorder="1" applyAlignment="1">
      <alignment horizontal="center" vertical="center"/>
    </xf>
    <xf numFmtId="0" fontId="6" fillId="2" borderId="8" xfId="54" applyFont="1" applyFill="1" applyBorder="1" applyAlignment="1">
      <alignment horizontal="center" vertical="center"/>
    </xf>
    <xf numFmtId="0" fontId="7" fillId="2" borderId="1" xfId="54" applyFont="1" applyFill="1" applyBorder="1" applyAlignment="1">
      <alignment horizontal="center" vertical="center" wrapText="1"/>
    </xf>
    <xf numFmtId="43" fontId="71" fillId="2" borderId="18" xfId="1" applyFont="1" applyFill="1" applyBorder="1" applyAlignment="1" applyProtection="1">
      <alignment horizontal="right" vertical="center"/>
    </xf>
    <xf numFmtId="43" fontId="71" fillId="2" borderId="19" xfId="1" applyFont="1" applyFill="1" applyBorder="1" applyAlignment="1" applyProtection="1">
      <alignment horizontal="right" vertical="center"/>
    </xf>
    <xf numFmtId="0" fontId="71" fillId="2" borderId="1" xfId="54" applyFont="1" applyFill="1" applyBorder="1" applyAlignment="1">
      <alignment horizontal="center" vertical="center" wrapText="1"/>
    </xf>
    <xf numFmtId="43" fontId="71" fillId="2" borderId="1" xfId="1" applyFont="1" applyFill="1" applyBorder="1" applyAlignment="1" applyProtection="1">
      <alignment horizontal="center" vertical="center"/>
    </xf>
    <xf numFmtId="0" fontId="75" fillId="2" borderId="7" xfId="54" applyFont="1" applyFill="1" applyBorder="1" applyAlignment="1">
      <alignment horizontal="center" vertical="center"/>
    </xf>
    <xf numFmtId="0" fontId="75" fillId="2" borderId="8" xfId="54" applyFont="1" applyFill="1" applyBorder="1" applyAlignment="1">
      <alignment horizontal="center" vertical="center"/>
    </xf>
    <xf numFmtId="0" fontId="75" fillId="2" borderId="9" xfId="54" applyFont="1" applyFill="1" applyBorder="1" applyAlignment="1">
      <alignment horizontal="center" vertical="center"/>
    </xf>
    <xf numFmtId="0" fontId="71" fillId="2" borderId="7" xfId="54" applyFont="1" applyFill="1" applyBorder="1" applyAlignment="1">
      <alignment horizontal="center" vertical="center"/>
    </xf>
    <xf numFmtId="0" fontId="71" fillId="2" borderId="8" xfId="54" applyFont="1" applyFill="1" applyBorder="1" applyAlignment="1">
      <alignment horizontal="center" vertical="center"/>
    </xf>
    <xf numFmtId="0" fontId="71" fillId="2" borderId="9" xfId="54" applyFont="1" applyFill="1" applyBorder="1" applyAlignment="1">
      <alignment horizontal="center" vertical="center"/>
    </xf>
    <xf numFmtId="0" fontId="71" fillId="2" borderId="1" xfId="54" applyFont="1" applyFill="1" applyBorder="1" applyAlignment="1">
      <alignment horizontal="center" vertical="center"/>
    </xf>
    <xf numFmtId="0" fontId="71" fillId="2" borderId="7" xfId="54" applyFont="1" applyFill="1" applyBorder="1" applyAlignment="1">
      <alignment horizontal="center" vertical="center" wrapText="1"/>
    </xf>
    <xf numFmtId="0" fontId="71" fillId="2" borderId="8" xfId="54" applyFont="1" applyFill="1" applyBorder="1" applyAlignment="1">
      <alignment horizontal="center" vertical="center" wrapText="1"/>
    </xf>
    <xf numFmtId="0" fontId="71" fillId="2" borderId="9" xfId="54" applyFont="1" applyFill="1" applyBorder="1" applyAlignment="1">
      <alignment horizontal="center" vertical="center" wrapText="1"/>
    </xf>
    <xf numFmtId="43" fontId="71" fillId="2" borderId="7" xfId="1" applyFont="1" applyFill="1" applyBorder="1" applyAlignment="1" applyProtection="1">
      <alignment horizontal="center" vertical="center"/>
    </xf>
    <xf numFmtId="43" fontId="71" fillId="2" borderId="9" xfId="1" applyFont="1" applyFill="1" applyBorder="1" applyAlignment="1" applyProtection="1">
      <alignment horizontal="center" vertical="center"/>
    </xf>
    <xf numFmtId="0" fontId="92" fillId="2" borderId="0" xfId="54" applyFont="1" applyFill="1" applyAlignment="1">
      <alignment horizontal="left" vertical="center" wrapText="1"/>
    </xf>
    <xf numFmtId="0" fontId="75" fillId="2" borderId="10" xfId="54" applyFont="1" applyFill="1" applyBorder="1" applyAlignment="1">
      <alignment horizontal="center" vertical="center"/>
    </xf>
    <xf numFmtId="0" fontId="75" fillId="2" borderId="34" xfId="54" applyFont="1" applyFill="1" applyBorder="1" applyAlignment="1">
      <alignment horizontal="center" vertical="center"/>
    </xf>
    <xf numFmtId="0" fontId="75" fillId="2" borderId="3" xfId="54" applyFont="1" applyFill="1" applyBorder="1" applyAlignment="1">
      <alignment horizontal="center" vertical="center"/>
    </xf>
    <xf numFmtId="43" fontId="71" fillId="2" borderId="7" xfId="1" applyFont="1" applyFill="1" applyBorder="1" applyAlignment="1" applyProtection="1">
      <alignment horizontal="center" vertical="center" wrapText="1"/>
    </xf>
    <xf numFmtId="43" fontId="71" fillId="2" borderId="9" xfId="1" applyFont="1" applyFill="1" applyBorder="1" applyAlignment="1" applyProtection="1">
      <alignment horizontal="center" vertical="center" wrapText="1"/>
    </xf>
    <xf numFmtId="43" fontId="75" fillId="2" borderId="7" xfId="1" applyFont="1" applyFill="1" applyBorder="1" applyAlignment="1" applyProtection="1">
      <alignment horizontal="center" vertical="center"/>
    </xf>
    <xf numFmtId="43" fontId="75" fillId="2" borderId="9" xfId="1" applyFont="1" applyFill="1" applyBorder="1" applyAlignment="1" applyProtection="1">
      <alignment horizontal="center" vertical="center"/>
    </xf>
    <xf numFmtId="0" fontId="75" fillId="2" borderId="1" xfId="54" applyFont="1" applyFill="1" applyBorder="1" applyAlignment="1">
      <alignment horizontal="center" vertical="center"/>
    </xf>
    <xf numFmtId="0" fontId="92" fillId="2" borderId="0" xfId="54" applyFont="1" applyFill="1" applyAlignment="1">
      <alignment horizontal="left" vertical="center"/>
    </xf>
    <xf numFmtId="43" fontId="75" fillId="2" borderId="7" xfId="1" applyFont="1" applyFill="1" applyBorder="1" applyAlignment="1" applyProtection="1">
      <alignment horizontal="right" vertical="center"/>
    </xf>
    <xf numFmtId="43" fontId="75" fillId="2" borderId="9" xfId="1" applyFont="1" applyFill="1" applyBorder="1" applyAlignment="1" applyProtection="1">
      <alignment horizontal="right" vertical="center"/>
    </xf>
    <xf numFmtId="43" fontId="71" fillId="2" borderId="7" xfId="1" applyFont="1" applyFill="1" applyBorder="1" applyAlignment="1" applyProtection="1">
      <alignment horizontal="right" vertical="center"/>
    </xf>
    <xf numFmtId="43" fontId="71" fillId="2" borderId="9" xfId="1" applyFont="1" applyFill="1" applyBorder="1" applyAlignment="1" applyProtection="1">
      <alignment horizontal="right" vertical="center"/>
    </xf>
    <xf numFmtId="168" fontId="7" fillId="2" borderId="7" xfId="1" applyNumberFormat="1" applyFont="1" applyFill="1" applyBorder="1" applyAlignment="1" applyProtection="1">
      <alignment horizontal="center" vertical="center"/>
    </xf>
    <xf numFmtId="168" fontId="7" fillId="2" borderId="9" xfId="1" applyNumberFormat="1" applyFont="1" applyFill="1" applyBorder="1" applyAlignment="1" applyProtection="1">
      <alignment horizontal="center" vertical="center"/>
    </xf>
    <xf numFmtId="168" fontId="7" fillId="2" borderId="7" xfId="1" applyNumberFormat="1" applyFont="1" applyFill="1" applyBorder="1" applyAlignment="1" applyProtection="1">
      <alignment horizontal="right" vertical="center"/>
    </xf>
    <xf numFmtId="168" fontId="7" fillId="2" borderId="9" xfId="1" applyNumberFormat="1" applyFont="1" applyFill="1" applyBorder="1" applyAlignment="1" applyProtection="1">
      <alignment horizontal="right" vertical="center"/>
    </xf>
    <xf numFmtId="0" fontId="6" fillId="2" borderId="10" xfId="54" applyFont="1" applyFill="1" applyBorder="1" applyAlignment="1">
      <alignment horizontal="center" vertical="center"/>
    </xf>
    <xf numFmtId="0" fontId="6" fillId="2" borderId="34" xfId="54" applyFont="1" applyFill="1" applyBorder="1" applyAlignment="1">
      <alignment horizontal="center" vertical="center"/>
    </xf>
    <xf numFmtId="0" fontId="6" fillId="2" borderId="3" xfId="54" applyFont="1" applyFill="1" applyBorder="1" applyAlignment="1">
      <alignment horizontal="center" vertical="center"/>
    </xf>
    <xf numFmtId="168" fontId="7" fillId="2" borderId="7" xfId="1" applyNumberFormat="1" applyFont="1" applyFill="1" applyBorder="1" applyAlignment="1" applyProtection="1">
      <alignment horizontal="center" vertical="center" wrapText="1"/>
    </xf>
    <xf numFmtId="168" fontId="7" fillId="2" borderId="9" xfId="1" applyNumberFormat="1" applyFont="1" applyFill="1" applyBorder="1" applyAlignment="1" applyProtection="1">
      <alignment horizontal="center" vertical="center" wrapText="1"/>
    </xf>
    <xf numFmtId="0" fontId="6" fillId="2" borderId="7" xfId="54" applyFont="1" applyFill="1" applyBorder="1" applyAlignment="1">
      <alignment horizontal="center" vertical="center"/>
    </xf>
    <xf numFmtId="0" fontId="6" fillId="2" borderId="9" xfId="54" applyFont="1" applyFill="1" applyBorder="1" applyAlignment="1">
      <alignment horizontal="center" vertical="center"/>
    </xf>
    <xf numFmtId="168" fontId="6" fillId="2" borderId="7" xfId="1" applyNumberFormat="1" applyFont="1" applyFill="1" applyBorder="1" applyAlignment="1" applyProtection="1">
      <alignment horizontal="center" vertical="center"/>
    </xf>
    <xf numFmtId="168" fontId="6" fillId="2" borderId="9" xfId="1" applyNumberFormat="1" applyFont="1" applyFill="1" applyBorder="1" applyAlignment="1" applyProtection="1">
      <alignment horizontal="center" vertical="center"/>
    </xf>
    <xf numFmtId="168" fontId="6" fillId="2" borderId="7" xfId="1" applyNumberFormat="1" applyFont="1" applyFill="1" applyBorder="1" applyAlignment="1" applyProtection="1">
      <alignment horizontal="right" vertical="center"/>
    </xf>
    <xf numFmtId="168" fontId="6" fillId="2" borderId="9" xfId="1" applyNumberFormat="1" applyFont="1" applyFill="1" applyBorder="1" applyAlignment="1" applyProtection="1">
      <alignment horizontal="right" vertical="center"/>
    </xf>
    <xf numFmtId="0" fontId="6" fillId="2" borderId="1" xfId="54" applyFont="1" applyFill="1" applyBorder="1" applyAlignment="1">
      <alignment horizontal="center" vertical="center"/>
    </xf>
    <xf numFmtId="168" fontId="7" fillId="2" borderId="1" xfId="1" applyNumberFormat="1" applyFont="1" applyFill="1" applyBorder="1" applyAlignment="1" applyProtection="1">
      <alignment horizontal="center" vertical="center"/>
    </xf>
    <xf numFmtId="0" fontId="25" fillId="2" borderId="0" xfId="54" applyFont="1" applyFill="1" applyAlignment="1">
      <alignment horizontal="left" vertical="center"/>
    </xf>
    <xf numFmtId="168" fontId="7" fillId="2" borderId="18" xfId="1" applyNumberFormat="1" applyFont="1" applyFill="1" applyBorder="1" applyAlignment="1" applyProtection="1">
      <alignment horizontal="right" vertical="center"/>
    </xf>
    <xf numFmtId="168" fontId="7" fillId="2" borderId="19" xfId="1" applyNumberFormat="1" applyFont="1" applyFill="1" applyBorder="1" applyAlignment="1" applyProtection="1">
      <alignment horizontal="right" vertical="center"/>
    </xf>
    <xf numFmtId="0" fontId="7" fillId="2" borderId="1" xfId="54" applyFont="1" applyFill="1" applyBorder="1" applyAlignment="1">
      <alignment horizontal="center"/>
    </xf>
    <xf numFmtId="0" fontId="6" fillId="2" borderId="1" xfId="54" applyFont="1" applyFill="1" applyBorder="1" applyAlignment="1">
      <alignment horizontal="left"/>
    </xf>
    <xf numFmtId="43" fontId="6" fillId="2" borderId="1" xfId="1" applyFont="1" applyFill="1" applyBorder="1" applyAlignment="1" applyProtection="1">
      <alignment horizontal="right"/>
    </xf>
    <xf numFmtId="43" fontId="7" fillId="2" borderId="1" xfId="1" applyFont="1" applyFill="1" applyBorder="1" applyAlignment="1" applyProtection="1">
      <alignment horizontal="right"/>
    </xf>
    <xf numFmtId="43" fontId="7" fillId="2" borderId="1" xfId="1" applyFont="1" applyFill="1" applyBorder="1" applyAlignment="1" applyProtection="1">
      <alignment horizontal="center"/>
    </xf>
    <xf numFmtId="0" fontId="25" fillId="2" borderId="0" xfId="54" applyFont="1" applyFill="1" applyAlignment="1">
      <alignment horizontal="left"/>
    </xf>
    <xf numFmtId="0" fontId="6" fillId="2" borderId="5" xfId="54" applyFont="1" applyFill="1" applyBorder="1" applyAlignment="1">
      <alignment horizontal="left" wrapText="1"/>
    </xf>
    <xf numFmtId="43" fontId="6" fillId="2" borderId="1" xfId="1" applyFont="1" applyFill="1" applyBorder="1" applyAlignment="1" applyProtection="1">
      <alignment horizontal="right" vertical="center" wrapText="1"/>
    </xf>
    <xf numFmtId="0" fontId="7" fillId="2" borderId="7" xfId="54" applyFont="1" applyFill="1" applyBorder="1" applyAlignment="1">
      <alignment horizontal="center"/>
    </xf>
    <xf numFmtId="0" fontId="7" fillId="2" borderId="9" xfId="54" applyFont="1" applyFill="1" applyBorder="1" applyAlignment="1">
      <alignment horizontal="center"/>
    </xf>
    <xf numFmtId="0" fontId="25" fillId="2" borderId="11" xfId="54" applyFont="1" applyFill="1" applyBorder="1" applyAlignment="1">
      <alignment horizontal="left" wrapText="1"/>
    </xf>
    <xf numFmtId="0" fontId="25" fillId="2" borderId="0" xfId="54" applyFont="1" applyFill="1" applyAlignment="1">
      <alignment horizontal="left" vertical="top" wrapText="1"/>
    </xf>
    <xf numFmtId="43" fontId="6" fillId="2" borderId="1" xfId="1" applyFont="1" applyFill="1" applyBorder="1" applyAlignment="1" applyProtection="1">
      <alignment horizontal="center"/>
    </xf>
    <xf numFmtId="0" fontId="6" fillId="2" borderId="5" xfId="54" applyFont="1" applyFill="1" applyBorder="1" applyAlignment="1">
      <alignment horizontal="left" vertical="center" wrapText="1"/>
    </xf>
    <xf numFmtId="0" fontId="60" fillId="0" borderId="0" xfId="46" applyFont="1" applyAlignment="1" applyProtection="1">
      <alignment horizontal="center" vertical="center" wrapText="1"/>
      <protection locked="0"/>
    </xf>
    <xf numFmtId="43" fontId="60" fillId="4" borderId="59" xfId="5" applyFont="1" applyFill="1" applyBorder="1" applyAlignment="1" applyProtection="1">
      <alignment horizontal="center" vertical="center"/>
    </xf>
    <xf numFmtId="43" fontId="60" fillId="4" borderId="64" xfId="5" applyFont="1" applyFill="1" applyBorder="1" applyAlignment="1" applyProtection="1">
      <alignment horizontal="center" vertical="center"/>
    </xf>
    <xf numFmtId="164" fontId="60" fillId="0" borderId="60" xfId="73" applyNumberFormat="1" applyFont="1" applyFill="1" applyBorder="1" applyAlignment="1" applyProtection="1">
      <alignment vertical="center"/>
      <protection locked="0"/>
    </xf>
    <xf numFmtId="164" fontId="60" fillId="0" borderId="61" xfId="73" applyNumberFormat="1" applyFont="1" applyFill="1" applyBorder="1" applyAlignment="1" applyProtection="1">
      <alignment vertical="center"/>
      <protection locked="0"/>
    </xf>
    <xf numFmtId="164" fontId="60" fillId="0" borderId="62" xfId="73" applyNumberFormat="1" applyFont="1" applyFill="1" applyBorder="1" applyAlignment="1" applyProtection="1">
      <alignment vertical="center"/>
      <protection locked="0"/>
    </xf>
    <xf numFmtId="164" fontId="60" fillId="4" borderId="63" xfId="73" applyNumberFormat="1" applyFont="1" applyFill="1" applyBorder="1" applyAlignment="1" applyProtection="1">
      <alignment vertical="center"/>
      <protection locked="0"/>
    </xf>
    <xf numFmtId="164" fontId="60" fillId="4" borderId="65" xfId="73" applyNumberFormat="1" applyFont="1" applyFill="1" applyBorder="1" applyAlignment="1" applyProtection="1">
      <alignment vertical="center"/>
      <protection locked="0"/>
    </xf>
    <xf numFmtId="49" fontId="79" fillId="0" borderId="37" xfId="0" applyNumberFormat="1" applyFont="1" applyBorder="1" applyAlignment="1">
      <alignment horizontal="left" vertical="center" wrapText="1"/>
    </xf>
    <xf numFmtId="49" fontId="79" fillId="11" borderId="38" xfId="0" applyNumberFormat="1" applyFont="1" applyFill="1" applyBorder="1" applyAlignment="1">
      <alignment horizontal="left" vertical="center" wrapText="1"/>
    </xf>
    <xf numFmtId="49" fontId="79" fillId="0" borderId="38" xfId="0" applyNumberFormat="1" applyFont="1" applyBorder="1" applyAlignment="1">
      <alignment horizontal="left" vertical="center" wrapText="1"/>
    </xf>
    <xf numFmtId="49" fontId="79" fillId="0" borderId="39" xfId="0" applyNumberFormat="1" applyFont="1" applyBorder="1" applyAlignment="1">
      <alignment horizontal="left" vertical="center" wrapText="1"/>
    </xf>
    <xf numFmtId="49" fontId="79" fillId="11" borderId="39" xfId="0" applyNumberFormat="1" applyFont="1" applyFill="1" applyBorder="1" applyAlignment="1">
      <alignment horizontal="left" vertical="center" wrapText="1"/>
    </xf>
    <xf numFmtId="49" fontId="56" fillId="11" borderId="45" xfId="0" applyNumberFormat="1" applyFont="1" applyFill="1" applyBorder="1" applyAlignment="1">
      <alignment horizontal="left" vertical="top" wrapText="1"/>
    </xf>
    <xf numFmtId="49" fontId="56" fillId="0" borderId="45" xfId="0" applyNumberFormat="1" applyFont="1" applyBorder="1" applyAlignment="1">
      <alignment horizontal="left" vertical="top" wrapText="1"/>
    </xf>
    <xf numFmtId="0" fontId="7" fillId="2" borderId="7" xfId="54" applyFont="1" applyFill="1" applyBorder="1" applyAlignment="1">
      <alignment horizontal="left"/>
    </xf>
    <xf numFmtId="0" fontId="7" fillId="2" borderId="9" xfId="54" applyFont="1" applyFill="1" applyBorder="1" applyAlignment="1">
      <alignment horizontal="left"/>
    </xf>
    <xf numFmtId="0" fontId="6" fillId="2" borderId="7" xfId="54" applyFont="1" applyFill="1" applyBorder="1" applyAlignment="1">
      <alignment horizontal="left" wrapText="1"/>
    </xf>
    <xf numFmtId="0" fontId="6" fillId="2" borderId="9" xfId="54" applyFont="1" applyFill="1" applyBorder="1" applyAlignment="1">
      <alignment horizontal="left" wrapText="1"/>
    </xf>
    <xf numFmtId="0" fontId="6" fillId="2" borderId="1" xfId="54" applyFont="1" applyFill="1" applyBorder="1" applyAlignment="1">
      <alignment horizontal="left" wrapText="1"/>
    </xf>
    <xf numFmtId="43" fontId="6" fillId="2" borderId="7" xfId="1" applyFont="1" applyFill="1" applyBorder="1" applyAlignment="1" applyProtection="1">
      <alignment horizontal="right"/>
    </xf>
    <xf numFmtId="43" fontId="6" fillId="2" borderId="9" xfId="1" applyFont="1" applyFill="1" applyBorder="1" applyAlignment="1" applyProtection="1">
      <alignment horizontal="right"/>
    </xf>
    <xf numFmtId="0" fontId="7" fillId="2" borderId="1" xfId="54" applyFont="1" applyFill="1" applyBorder="1" applyAlignment="1">
      <alignment horizontal="left"/>
    </xf>
    <xf numFmtId="0" fontId="7" fillId="2" borderId="1" xfId="54" applyFont="1" applyFill="1" applyBorder="1" applyAlignment="1">
      <alignment horizontal="left" vertical="center" wrapText="1"/>
    </xf>
    <xf numFmtId="0" fontId="7" fillId="2" borderId="1" xfId="54" applyFont="1" applyFill="1" applyBorder="1" applyAlignment="1">
      <alignment horizontal="right"/>
    </xf>
    <xf numFmtId="0" fontId="7" fillId="2" borderId="8" xfId="54" applyFont="1" applyFill="1" applyBorder="1" applyAlignment="1">
      <alignment horizontal="center"/>
    </xf>
    <xf numFmtId="0" fontId="75" fillId="2" borderId="1" xfId="54" applyFont="1" applyFill="1" applyBorder="1" applyAlignment="1">
      <alignment horizontal="left" vertical="center" wrapText="1"/>
    </xf>
    <xf numFmtId="0" fontId="75" fillId="2" borderId="1" xfId="54" applyFont="1" applyFill="1" applyBorder="1" applyAlignment="1">
      <alignment horizontal="left" vertical="center"/>
    </xf>
    <xf numFmtId="43" fontId="6" fillId="2" borderId="1" xfId="1" applyFont="1" applyFill="1" applyBorder="1" applyAlignment="1" applyProtection="1">
      <alignment horizontal="right" vertical="center"/>
      <protection hidden="1"/>
    </xf>
    <xf numFmtId="43" fontId="6" fillId="8" borderId="1" xfId="1" applyFont="1" applyFill="1" applyBorder="1" applyAlignment="1" applyProtection="1">
      <alignment horizontal="right" vertical="center"/>
    </xf>
    <xf numFmtId="43" fontId="6" fillId="0" borderId="7" xfId="1" applyFont="1" applyFill="1" applyBorder="1" applyAlignment="1" applyProtection="1">
      <alignment horizontal="right"/>
    </xf>
    <xf numFmtId="43" fontId="6" fillId="0" borderId="9" xfId="1" applyFont="1" applyFill="1" applyBorder="1" applyAlignment="1" applyProtection="1">
      <alignment horizontal="right"/>
    </xf>
    <xf numFmtId="43" fontId="6" fillId="2" borderId="11" xfId="1" applyFont="1" applyFill="1" applyBorder="1" applyAlignment="1" applyProtection="1">
      <alignment horizontal="center"/>
    </xf>
    <xf numFmtId="43" fontId="6" fillId="2" borderId="12" xfId="1" applyFont="1" applyFill="1" applyBorder="1" applyAlignment="1" applyProtection="1">
      <alignment horizontal="center"/>
    </xf>
    <xf numFmtId="0" fontId="6" fillId="2" borderId="1" xfId="54" applyFont="1" applyFill="1" applyBorder="1" applyAlignment="1">
      <alignment horizontal="left" vertical="top"/>
    </xf>
    <xf numFmtId="0" fontId="6" fillId="2" borderId="1" xfId="54" applyFont="1" applyFill="1" applyBorder="1" applyAlignment="1">
      <alignment horizontal="right" vertical="top"/>
    </xf>
    <xf numFmtId="4" fontId="6" fillId="2" borderId="1" xfId="54" applyNumberFormat="1" applyFont="1" applyFill="1" applyBorder="1" applyAlignment="1">
      <alignment horizontal="right"/>
    </xf>
    <xf numFmtId="43" fontId="6" fillId="8" borderId="1" xfId="1" applyFont="1" applyFill="1" applyBorder="1" applyAlignment="1" applyProtection="1">
      <alignment horizontal="right"/>
    </xf>
    <xf numFmtId="0" fontId="6" fillId="2" borderId="1" xfId="54" applyFont="1" applyFill="1" applyBorder="1" applyAlignment="1">
      <alignment horizontal="right" vertical="center"/>
    </xf>
    <xf numFmtId="0" fontId="7" fillId="2" borderId="1" xfId="54" applyFont="1" applyFill="1" applyBorder="1" applyAlignment="1">
      <alignment horizontal="center" wrapText="1"/>
    </xf>
    <xf numFmtId="43" fontId="6" fillId="2" borderId="7" xfId="1" applyFont="1" applyFill="1" applyBorder="1" applyAlignment="1" applyProtection="1">
      <alignment horizontal="center"/>
    </xf>
    <xf numFmtId="43" fontId="6" fillId="2" borderId="9" xfId="1" applyFont="1" applyFill="1" applyBorder="1" applyAlignment="1" applyProtection="1">
      <alignment horizontal="center"/>
    </xf>
    <xf numFmtId="43" fontId="7" fillId="2" borderId="7" xfId="1" applyFont="1" applyFill="1" applyBorder="1" applyAlignment="1" applyProtection="1">
      <alignment horizontal="right"/>
    </xf>
    <xf numFmtId="43" fontId="7" fillId="2" borderId="9" xfId="1" applyFont="1" applyFill="1" applyBorder="1" applyAlignment="1" applyProtection="1">
      <alignment horizontal="right"/>
    </xf>
    <xf numFmtId="0" fontId="6" fillId="2" borderId="5" xfId="54" applyFont="1" applyFill="1" applyBorder="1" applyAlignment="1">
      <alignment horizontal="center"/>
    </xf>
    <xf numFmtId="0" fontId="6" fillId="2" borderId="1" xfId="54" applyFont="1" applyFill="1" applyBorder="1" applyAlignment="1">
      <alignment horizontal="center"/>
    </xf>
    <xf numFmtId="43" fontId="7" fillId="2" borderId="7" xfId="1" applyFont="1" applyFill="1" applyBorder="1" applyAlignment="1" applyProtection="1">
      <alignment horizontal="center"/>
    </xf>
    <xf numFmtId="43" fontId="7" fillId="2" borderId="9" xfId="1" applyFont="1" applyFill="1" applyBorder="1" applyAlignment="1" applyProtection="1">
      <alignment horizontal="center"/>
    </xf>
    <xf numFmtId="0" fontId="6" fillId="2" borderId="28" xfId="54" applyFont="1" applyFill="1" applyBorder="1" applyAlignment="1">
      <alignment horizontal="left"/>
    </xf>
    <xf numFmtId="0" fontId="7" fillId="3" borderId="11" xfId="54" applyFont="1" applyFill="1" applyBorder="1" applyAlignment="1">
      <alignment horizontal="left"/>
    </xf>
    <xf numFmtId="0" fontId="22" fillId="2" borderId="0" xfId="54" applyFont="1" applyFill="1" applyAlignment="1">
      <alignment horizontal="left"/>
    </xf>
    <xf numFmtId="3" fontId="6" fillId="2" borderId="1" xfId="54" applyNumberFormat="1" applyFont="1" applyFill="1" applyBorder="1" applyAlignment="1">
      <alignment horizontal="left"/>
    </xf>
    <xf numFmtId="0" fontId="7" fillId="2" borderId="1" xfId="54" applyFont="1" applyFill="1" applyBorder="1"/>
    <xf numFmtId="0" fontId="6" fillId="2" borderId="0" xfId="54" applyFont="1" applyFill="1" applyAlignment="1">
      <alignment horizontal="left" vertical="top" wrapText="1"/>
    </xf>
    <xf numFmtId="0" fontId="7" fillId="3" borderId="0" xfId="54" applyFont="1" applyFill="1" applyAlignment="1">
      <alignment horizontal="left"/>
    </xf>
    <xf numFmtId="0" fontId="6" fillId="2" borderId="7" xfId="54" applyFont="1" applyFill="1" applyBorder="1" applyAlignment="1">
      <alignment horizontal="left"/>
    </xf>
    <xf numFmtId="0" fontId="6" fillId="2" borderId="9" xfId="54" applyFont="1" applyFill="1" applyBorder="1" applyAlignment="1">
      <alignment horizontal="left"/>
    </xf>
    <xf numFmtId="3" fontId="6" fillId="2" borderId="1" xfId="54" applyNumberFormat="1" applyFont="1" applyFill="1" applyBorder="1" applyAlignment="1">
      <alignment horizontal="center"/>
    </xf>
    <xf numFmtId="0" fontId="6" fillId="2" borderId="1" xfId="54" applyFont="1" applyFill="1" applyBorder="1" applyAlignment="1">
      <alignment horizontal="center" vertical="center" wrapText="1"/>
    </xf>
    <xf numFmtId="168" fontId="6" fillId="2" borderId="1" xfId="1" applyNumberFormat="1" applyFont="1" applyFill="1" applyBorder="1" applyAlignment="1" applyProtection="1">
      <alignment horizontal="right"/>
    </xf>
    <xf numFmtId="168" fontId="7" fillId="2" borderId="1" xfId="1" applyNumberFormat="1" applyFont="1" applyFill="1" applyBorder="1" applyAlignment="1" applyProtection="1">
      <alignment horizontal="center"/>
    </xf>
    <xf numFmtId="168" fontId="7" fillId="2" borderId="1" xfId="1" applyNumberFormat="1" applyFont="1" applyFill="1" applyBorder="1" applyAlignment="1" applyProtection="1">
      <alignment horizontal="right"/>
    </xf>
    <xf numFmtId="168" fontId="6" fillId="2" borderId="1" xfId="1" applyNumberFormat="1" applyFont="1" applyFill="1" applyBorder="1" applyAlignment="1" applyProtection="1">
      <alignment horizontal="center" vertical="center"/>
    </xf>
    <xf numFmtId="168" fontId="6" fillId="2" borderId="7" xfId="1" applyNumberFormat="1" applyFont="1" applyFill="1" applyBorder="1" applyAlignment="1" applyProtection="1">
      <alignment horizontal="right"/>
    </xf>
    <xf numFmtId="168" fontId="6" fillId="2" borderId="9" xfId="1" applyNumberFormat="1" applyFont="1" applyFill="1" applyBorder="1" applyAlignment="1" applyProtection="1">
      <alignment horizontal="right"/>
    </xf>
    <xf numFmtId="168" fontId="6" fillId="2" borderId="1" xfId="1" applyNumberFormat="1" applyFont="1" applyFill="1" applyBorder="1" applyAlignment="1" applyProtection="1">
      <alignment horizontal="right" vertical="top"/>
    </xf>
    <xf numFmtId="168" fontId="6" fillId="2" borderId="1" xfId="1" applyNumberFormat="1" applyFont="1" applyFill="1" applyBorder="1" applyAlignment="1" applyProtection="1">
      <alignment horizontal="right" vertical="center"/>
    </xf>
    <xf numFmtId="168" fontId="7" fillId="2" borderId="1" xfId="1" applyNumberFormat="1" applyFont="1" applyFill="1" applyBorder="1" applyAlignment="1" applyProtection="1">
      <alignment horizontal="center" wrapText="1"/>
    </xf>
    <xf numFmtId="168" fontId="6" fillId="2" borderId="7" xfId="1" applyNumberFormat="1" applyFont="1" applyFill="1" applyBorder="1" applyAlignment="1" applyProtection="1">
      <alignment horizontal="center"/>
    </xf>
    <xf numFmtId="168" fontId="6" fillId="2" borderId="9" xfId="1" applyNumberFormat="1" applyFont="1" applyFill="1" applyBorder="1" applyAlignment="1" applyProtection="1">
      <alignment horizontal="center"/>
    </xf>
    <xf numFmtId="168" fontId="7" fillId="2" borderId="7" xfId="1" applyNumberFormat="1" applyFont="1" applyFill="1" applyBorder="1" applyAlignment="1" applyProtection="1">
      <alignment horizontal="right"/>
    </xf>
    <xf numFmtId="168" fontId="7" fillId="2" borderId="9" xfId="1" applyNumberFormat="1" applyFont="1" applyFill="1" applyBorder="1" applyAlignment="1" applyProtection="1">
      <alignment horizontal="right"/>
    </xf>
    <xf numFmtId="168" fontId="7" fillId="2" borderId="7" xfId="1" applyNumberFormat="1" applyFont="1" applyFill="1" applyBorder="1" applyAlignment="1" applyProtection="1">
      <alignment horizontal="center"/>
    </xf>
    <xf numFmtId="168" fontId="7" fillId="2" borderId="9" xfId="1" applyNumberFormat="1" applyFont="1" applyFill="1" applyBorder="1" applyAlignment="1" applyProtection="1">
      <alignment horizontal="center"/>
    </xf>
    <xf numFmtId="168" fontId="6" fillId="2" borderId="1" xfId="1" applyNumberFormat="1" applyFont="1" applyFill="1" applyBorder="1" applyAlignment="1" applyProtection="1">
      <alignment horizontal="left"/>
    </xf>
    <xf numFmtId="168" fontId="6" fillId="2" borderId="1" xfId="1" applyNumberFormat="1" applyFont="1" applyFill="1" applyBorder="1" applyAlignment="1" applyProtection="1">
      <alignment horizontal="center"/>
    </xf>
    <xf numFmtId="168" fontId="7" fillId="2" borderId="1" xfId="1" applyNumberFormat="1" applyFont="1" applyFill="1" applyBorder="1" applyAlignment="1" applyProtection="1">
      <alignment horizontal="center" vertical="center" wrapText="1"/>
    </xf>
    <xf numFmtId="168" fontId="6" fillId="2" borderId="1" xfId="1" applyNumberFormat="1" applyFont="1" applyFill="1" applyBorder="1" applyAlignment="1" applyProtection="1">
      <alignment horizontal="center" vertical="center" wrapText="1"/>
    </xf>
    <xf numFmtId="0" fontId="110" fillId="0" borderId="10" xfId="0" applyFont="1" applyBorder="1" applyAlignment="1">
      <alignment horizontal="center" vertical="center" wrapText="1"/>
    </xf>
    <xf numFmtId="0" fontId="110" fillId="0" borderId="3" xfId="0" applyFont="1" applyBorder="1" applyAlignment="1">
      <alignment horizontal="center" vertical="center" wrapText="1"/>
    </xf>
    <xf numFmtId="0" fontId="106" fillId="3" borderId="0" xfId="54" applyFont="1" applyFill="1" applyAlignment="1">
      <alignment horizontal="left" vertical="center"/>
    </xf>
    <xf numFmtId="0" fontId="110" fillId="0" borderId="15" xfId="0" applyFont="1" applyBorder="1" applyAlignment="1">
      <alignment horizontal="center" vertical="center" wrapText="1"/>
    </xf>
    <xf numFmtId="0" fontId="110" fillId="0" borderId="36" xfId="0" applyFont="1" applyBorder="1" applyAlignment="1">
      <alignment horizontal="center" vertical="center" wrapText="1"/>
    </xf>
    <xf numFmtId="0" fontId="106" fillId="2" borderId="7" xfId="54" applyFont="1" applyFill="1" applyBorder="1" applyAlignment="1">
      <alignment horizontal="center" vertical="center"/>
    </xf>
    <xf numFmtId="0" fontId="106" fillId="2" borderId="8" xfId="54" applyFont="1" applyFill="1" applyBorder="1" applyAlignment="1">
      <alignment horizontal="center" vertical="center"/>
    </xf>
    <xf numFmtId="0" fontId="27" fillId="0" borderId="10" xfId="0" applyFont="1" applyBorder="1" applyAlignment="1">
      <alignment horizontal="center" vertical="center" wrapText="1"/>
    </xf>
    <xf numFmtId="0" fontId="27" fillId="0" borderId="3" xfId="0" applyFont="1" applyBorder="1" applyAlignment="1">
      <alignment horizontal="center" vertical="center" wrapText="1"/>
    </xf>
    <xf numFmtId="0" fontId="7" fillId="3" borderId="0" xfId="54" applyFont="1" applyFill="1" applyAlignment="1">
      <alignment horizontal="left" vertical="center"/>
    </xf>
    <xf numFmtId="0" fontId="27" fillId="0" borderId="15" xfId="0" applyFont="1" applyBorder="1" applyAlignment="1">
      <alignment horizontal="center" vertical="center" wrapText="1"/>
    </xf>
    <xf numFmtId="0" fontId="27" fillId="0" borderId="36" xfId="0" applyFont="1" applyBorder="1" applyAlignment="1">
      <alignment horizontal="center" vertical="center" wrapText="1"/>
    </xf>
    <xf numFmtId="49" fontId="65" fillId="0" borderId="0" xfId="0" applyNumberFormat="1" applyFont="1" applyAlignment="1">
      <alignment horizontal="left" vertical="center" wrapText="1"/>
    </xf>
    <xf numFmtId="0" fontId="61" fillId="0" borderId="0" xfId="0" applyFont="1" applyAlignment="1">
      <alignment horizontal="left" vertical="center" wrapText="1"/>
    </xf>
    <xf numFmtId="0" fontId="62" fillId="0" borderId="0" xfId="0" applyFont="1" applyAlignment="1">
      <alignment horizontal="left" vertical="center" wrapText="1"/>
    </xf>
    <xf numFmtId="0" fontId="63" fillId="0" borderId="0" xfId="0" applyFont="1" applyAlignment="1">
      <alignment horizontal="center" vertical="center" wrapText="1"/>
    </xf>
    <xf numFmtId="0" fontId="61" fillId="9" borderId="41" xfId="0" applyFont="1" applyFill="1" applyBorder="1" applyAlignment="1">
      <alignment horizontal="center" vertical="center" wrapText="1"/>
    </xf>
    <xf numFmtId="0" fontId="61" fillId="9" borderId="37" xfId="0" applyFont="1" applyFill="1" applyBorder="1" applyAlignment="1">
      <alignment horizontal="center" vertical="center" wrapText="1"/>
    </xf>
    <xf numFmtId="0" fontId="65" fillId="0" borderId="0" xfId="0" applyFont="1" applyAlignment="1">
      <alignment horizontal="right" vertical="center" wrapText="1"/>
    </xf>
    <xf numFmtId="0" fontId="65" fillId="0" borderId="0" xfId="0" applyFont="1" applyAlignment="1">
      <alignment horizontal="left" vertical="center" wrapText="1"/>
    </xf>
    <xf numFmtId="0" fontId="61" fillId="0" borderId="44" xfId="0" applyFont="1" applyBorder="1" applyAlignment="1">
      <alignment horizontal="right" vertical="center" wrapText="1"/>
    </xf>
    <xf numFmtId="0" fontId="67" fillId="0" borderId="0" xfId="0" applyFont="1" applyAlignment="1">
      <alignment horizontal="left" vertical="center" wrapText="1"/>
    </xf>
    <xf numFmtId="0" fontId="67" fillId="9" borderId="41" xfId="0" applyFont="1" applyFill="1" applyBorder="1" applyAlignment="1">
      <alignment horizontal="center" vertical="center" wrapText="1"/>
    </xf>
    <xf numFmtId="0" fontId="67" fillId="9" borderId="37" xfId="0" applyFont="1" applyFill="1" applyBorder="1" applyAlignment="1">
      <alignment horizontal="center" vertical="center" wrapText="1"/>
    </xf>
    <xf numFmtId="0" fontId="5" fillId="7" borderId="22" xfId="72" applyFont="1" applyFill="1" applyBorder="1" applyAlignment="1">
      <alignment horizontal="center" vertical="center" wrapText="1"/>
    </xf>
    <xf numFmtId="0" fontId="5" fillId="7" borderId="22" xfId="72" applyFont="1" applyFill="1" applyBorder="1" applyAlignment="1">
      <alignment horizontal="center" vertical="center"/>
    </xf>
  </cellXfs>
  <cellStyles count="100">
    <cellStyle name="Comma" xfId="1" builtinId="3"/>
    <cellStyle name="Comma 10 2 4" xfId="94" xr:uid="{00000000-0005-0000-0000-000001000000}"/>
    <cellStyle name="Comma 100 2" xfId="74" xr:uid="{00000000-0005-0000-0000-000002000000}"/>
    <cellStyle name="Comma 2" xfId="2" xr:uid="{00000000-0005-0000-0000-000003000000}"/>
    <cellStyle name="Comma 2 10" xfId="3" xr:uid="{00000000-0005-0000-0000-000004000000}"/>
    <cellStyle name="Comma 2 2" xfId="4" xr:uid="{00000000-0005-0000-0000-000005000000}"/>
    <cellStyle name="Comma 2 2 2" xfId="5" xr:uid="{00000000-0005-0000-0000-000006000000}"/>
    <cellStyle name="Comma 2 2 2 2" xfId="98" xr:uid="{00000000-0005-0000-0000-000007000000}"/>
    <cellStyle name="Comma 2 2 3" xfId="6" xr:uid="{00000000-0005-0000-0000-000008000000}"/>
    <cellStyle name="Comma 2 3" xfId="7" xr:uid="{00000000-0005-0000-0000-000009000000}"/>
    <cellStyle name="Comma 2 3 2" xfId="8" xr:uid="{00000000-0005-0000-0000-00000A000000}"/>
    <cellStyle name="Comma 2 3 3" xfId="9" xr:uid="{00000000-0005-0000-0000-00000B000000}"/>
    <cellStyle name="Comma 2 4" xfId="10" xr:uid="{00000000-0005-0000-0000-00000C000000}"/>
    <cellStyle name="Comma 2 4 2" xfId="11" xr:uid="{00000000-0005-0000-0000-00000D000000}"/>
    <cellStyle name="Comma 2 4 3" xfId="12" xr:uid="{00000000-0005-0000-0000-00000E000000}"/>
    <cellStyle name="Comma 2 5" xfId="13" xr:uid="{00000000-0005-0000-0000-00000F000000}"/>
    <cellStyle name="Comma 2 5 10" xfId="80" xr:uid="{00000000-0005-0000-0000-000010000000}"/>
    <cellStyle name="Comma 2 5 2" xfId="14" xr:uid="{00000000-0005-0000-0000-000011000000}"/>
    <cellStyle name="Comma 2 5 3" xfId="15" xr:uid="{00000000-0005-0000-0000-000012000000}"/>
    <cellStyle name="Comma 2 5 3 2" xfId="89" xr:uid="{00000000-0005-0000-0000-000013000000}"/>
    <cellStyle name="Comma 2 6" xfId="16" xr:uid="{00000000-0005-0000-0000-000014000000}"/>
    <cellStyle name="Comma 2 6 2" xfId="17" xr:uid="{00000000-0005-0000-0000-000015000000}"/>
    <cellStyle name="Comma 2 6 3" xfId="18" xr:uid="{00000000-0005-0000-0000-000016000000}"/>
    <cellStyle name="Comma 2 7" xfId="19" xr:uid="{00000000-0005-0000-0000-000017000000}"/>
    <cellStyle name="Comma 2 8" xfId="20" xr:uid="{00000000-0005-0000-0000-000018000000}"/>
    <cellStyle name="Comma 20" xfId="73" xr:uid="{00000000-0005-0000-0000-000019000000}"/>
    <cellStyle name="Comma 22" xfId="21" xr:uid="{00000000-0005-0000-0000-00001A000000}"/>
    <cellStyle name="Comma 3" xfId="22" xr:uid="{00000000-0005-0000-0000-00001B000000}"/>
    <cellStyle name="Comma 3 11" xfId="83" xr:uid="{00000000-0005-0000-0000-00001C000000}"/>
    <cellStyle name="Comma 3 2" xfId="23" xr:uid="{00000000-0005-0000-0000-00001D000000}"/>
    <cellStyle name="Comma 3 3" xfId="24" xr:uid="{00000000-0005-0000-0000-00001E000000}"/>
    <cellStyle name="Comma 3 4" xfId="25" xr:uid="{00000000-0005-0000-0000-00001F000000}"/>
    <cellStyle name="Comma 4" xfId="26" xr:uid="{00000000-0005-0000-0000-000020000000}"/>
    <cellStyle name="Comma 4 2" xfId="27" xr:uid="{00000000-0005-0000-0000-000021000000}"/>
    <cellStyle name="Comma 4 3" xfId="28" xr:uid="{00000000-0005-0000-0000-000022000000}"/>
    <cellStyle name="Comma 5" xfId="29" xr:uid="{00000000-0005-0000-0000-000023000000}"/>
    <cellStyle name="Comma 5 2" xfId="30" xr:uid="{00000000-0005-0000-0000-000024000000}"/>
    <cellStyle name="Comma 5 3" xfId="31" xr:uid="{00000000-0005-0000-0000-000025000000}"/>
    <cellStyle name="Comma 6" xfId="32" xr:uid="{00000000-0005-0000-0000-000026000000}"/>
    <cellStyle name="Comma 7" xfId="33" xr:uid="{00000000-0005-0000-0000-000027000000}"/>
    <cellStyle name="Comma 8" xfId="34" xr:uid="{00000000-0005-0000-0000-000028000000}"/>
    <cellStyle name="Comma 9" xfId="82" xr:uid="{00000000-0005-0000-0000-000029000000}"/>
    <cellStyle name="Comma 94" xfId="92" xr:uid="{00000000-0005-0000-0000-00002A000000}"/>
    <cellStyle name="Currency 2" xfId="35" xr:uid="{00000000-0005-0000-0000-00002B000000}"/>
    <cellStyle name="Custom - Style8 4 2 5 10" xfId="79" xr:uid="{00000000-0005-0000-0000-00002C000000}"/>
    <cellStyle name="Custom - Style8 4 3 2 2" xfId="71" xr:uid="{00000000-0005-0000-0000-00002D000000}"/>
    <cellStyle name="Custom - Style8 4 3 2 2 2" xfId="88" xr:uid="{00000000-0005-0000-0000-00002E000000}"/>
    <cellStyle name="Custom - Style8 4 3 2 2 2 2" xfId="90" xr:uid="{00000000-0005-0000-0000-00002F000000}"/>
    <cellStyle name="Normal" xfId="0" builtinId="0"/>
    <cellStyle name="Normal 10" xfId="81" xr:uid="{00000000-0005-0000-0000-000031000000}"/>
    <cellStyle name="Normal 11" xfId="75" xr:uid="{00000000-0005-0000-0000-000032000000}"/>
    <cellStyle name="Normal 12" xfId="76" xr:uid="{00000000-0005-0000-0000-000033000000}"/>
    <cellStyle name="Normal 13" xfId="93" xr:uid="{00000000-0005-0000-0000-000034000000}"/>
    <cellStyle name="Normal 13 2 2" xfId="96" xr:uid="{00000000-0005-0000-0000-000035000000}"/>
    <cellStyle name="Normal 15" xfId="36" xr:uid="{00000000-0005-0000-0000-000036000000}"/>
    <cellStyle name="Normal 2" xfId="37" xr:uid="{00000000-0005-0000-0000-000037000000}"/>
    <cellStyle name="Normal 2 16" xfId="86" xr:uid="{00000000-0005-0000-0000-000038000000}"/>
    <cellStyle name="Normal 2 2" xfId="38" xr:uid="{00000000-0005-0000-0000-000039000000}"/>
    <cellStyle name="Normal 2 2 2" xfId="39" xr:uid="{00000000-0005-0000-0000-00003A000000}"/>
    <cellStyle name="Normal 2 2 3" xfId="40" xr:uid="{00000000-0005-0000-0000-00003B000000}"/>
    <cellStyle name="Normal 2 3" xfId="41" xr:uid="{00000000-0005-0000-0000-00003C000000}"/>
    <cellStyle name="Normal 2 4" xfId="42" xr:uid="{00000000-0005-0000-0000-00003D000000}"/>
    <cellStyle name="Normal 2 5" xfId="43" xr:uid="{00000000-0005-0000-0000-00003E000000}"/>
    <cellStyle name="Normal 2 6" xfId="44" xr:uid="{00000000-0005-0000-0000-00003F000000}"/>
    <cellStyle name="Normal 2 7" xfId="45" xr:uid="{00000000-0005-0000-0000-000040000000}"/>
    <cellStyle name="Normal 2 8" xfId="46" xr:uid="{00000000-0005-0000-0000-000041000000}"/>
    <cellStyle name="Normal 2 8 2" xfId="95" xr:uid="{00000000-0005-0000-0000-000042000000}"/>
    <cellStyle name="Normal 2 8 3 2" xfId="84" xr:uid="{00000000-0005-0000-0000-000043000000}"/>
    <cellStyle name="Normal 2 8 5" xfId="78" xr:uid="{00000000-0005-0000-0000-000044000000}"/>
    <cellStyle name="Normal 2_AANOAT" xfId="47" xr:uid="{00000000-0005-0000-0000-000045000000}"/>
    <cellStyle name="Normal 3" xfId="48" xr:uid="{00000000-0005-0000-0000-000046000000}"/>
    <cellStyle name="Normal 3 2" xfId="49" xr:uid="{00000000-0005-0000-0000-000047000000}"/>
    <cellStyle name="Normal 3 3" xfId="50" xr:uid="{00000000-0005-0000-0000-000048000000}"/>
    <cellStyle name="Normal 3 4" xfId="51" xr:uid="{00000000-0005-0000-0000-000049000000}"/>
    <cellStyle name="Normal 3 4 2" xfId="97" xr:uid="{00000000-0005-0000-0000-00004A000000}"/>
    <cellStyle name="Normal 3 4 3 2" xfId="87" xr:uid="{00000000-0005-0000-0000-00004B000000}"/>
    <cellStyle name="Normal 3 4 4" xfId="77" xr:uid="{00000000-0005-0000-0000-00004C000000}"/>
    <cellStyle name="Normal 3_OET balance 2013_4" xfId="52" xr:uid="{00000000-0005-0000-0000-00004D000000}"/>
    <cellStyle name="Normal 4" xfId="53" xr:uid="{00000000-0005-0000-0000-00004E000000}"/>
    <cellStyle name="Normal 4 2" xfId="54" xr:uid="{00000000-0005-0000-0000-00004F000000}"/>
    <cellStyle name="Normal 4 3" xfId="55" xr:uid="{00000000-0005-0000-0000-000050000000}"/>
    <cellStyle name="Normal 43 2" xfId="91" xr:uid="{00000000-0005-0000-0000-000051000000}"/>
    <cellStyle name="Normal 5" xfId="56" xr:uid="{00000000-0005-0000-0000-000052000000}"/>
    <cellStyle name="Normal 5 2" xfId="57" xr:uid="{00000000-0005-0000-0000-000053000000}"/>
    <cellStyle name="Normal 5 3" xfId="58" xr:uid="{00000000-0005-0000-0000-000054000000}"/>
    <cellStyle name="Normal 51" xfId="85" xr:uid="{00000000-0005-0000-0000-000055000000}"/>
    <cellStyle name="Normal 6" xfId="59" xr:uid="{00000000-0005-0000-0000-000056000000}"/>
    <cellStyle name="Normal 7" xfId="60" xr:uid="{00000000-0005-0000-0000-000057000000}"/>
    <cellStyle name="Normal 8" xfId="61" xr:uid="{00000000-0005-0000-0000-000058000000}"/>
    <cellStyle name="Normal 9" xfId="72" xr:uid="{00000000-0005-0000-0000-000059000000}"/>
    <cellStyle name="Normal_Account list-06 07" xfId="62" xr:uid="{00000000-0005-0000-0000-00005A000000}"/>
    <cellStyle name="Normal_Account list-06 07 2" xfId="63" xr:uid="{00000000-0005-0000-0000-00005B000000}"/>
    <cellStyle name="Normal_Balanc-2005 2" xfId="64" xr:uid="{00000000-0005-0000-0000-00005E000000}"/>
    <cellStyle name="Percent" xfId="65" builtinId="5"/>
    <cellStyle name="Percent 10" xfId="99" xr:uid="{00000000-0005-0000-0000-000062000000}"/>
    <cellStyle name="Percent 2" xfId="66" xr:uid="{00000000-0005-0000-0000-000063000000}"/>
    <cellStyle name="Percent 3" xfId="67" xr:uid="{00000000-0005-0000-0000-000064000000}"/>
    <cellStyle name="Percent 6" xfId="68" xr:uid="{00000000-0005-0000-0000-000065000000}"/>
    <cellStyle name="PSChar" xfId="69" xr:uid="{00000000-0005-0000-0000-000066000000}"/>
    <cellStyle name="PSDate" xfId="70" xr:uid="{00000000-0005-0000-0000-00006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25</xdr:row>
      <xdr:rowOff>0</xdr:rowOff>
    </xdr:from>
    <xdr:ext cx="9867900" cy="19050"/>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rcRect/>
        <a:stretch>
          <a:fillRect/>
        </a:stretch>
      </xdr:blipFill>
      <xdr:spPr>
        <a:xfrm>
          <a:off x="0" y="5600700"/>
          <a:ext cx="9867900" cy="19050"/>
        </a:xfrm>
        <a:prstGeom prst="rect">
          <a:avLst/>
        </a:prstGeom>
      </xdr:spPr>
    </xdr:pic>
    <xdr:clientData/>
  </xdr:oneCellAnchor>
  <xdr:oneCellAnchor>
    <xdr:from>
      <xdr:col>0</xdr:col>
      <xdr:colOff>0</xdr:colOff>
      <xdr:row>25</xdr:row>
      <xdr:rowOff>0</xdr:rowOff>
    </xdr:from>
    <xdr:ext cx="9867900" cy="19050"/>
    <xdr:pic>
      <xdr:nvPicPr>
        <xdr:cNvPr id="3" name="Picture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srcRect/>
        <a:stretch>
          <a:fillRect/>
        </a:stretch>
      </xdr:blipFill>
      <xdr:spPr>
        <a:xfrm>
          <a:off x="0" y="5600700"/>
          <a:ext cx="9867900" cy="19050"/>
        </a:xfrm>
        <a:prstGeom prst="rect">
          <a:avLst/>
        </a:prstGeom>
      </xdr:spPr>
    </xdr:pic>
    <xdr:clientData/>
  </xdr:oneCellAnchor>
  <xdr:oneCellAnchor>
    <xdr:from>
      <xdr:col>0</xdr:col>
      <xdr:colOff>0</xdr:colOff>
      <xdr:row>25</xdr:row>
      <xdr:rowOff>0</xdr:rowOff>
    </xdr:from>
    <xdr:ext cx="9867900" cy="19050"/>
    <xdr:pic>
      <xdr:nvPicPr>
        <xdr:cNvPr id="4" name="Picture 3">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srcRect/>
        <a:stretch>
          <a:fillRect/>
        </a:stretch>
      </xdr:blipFill>
      <xdr:spPr>
        <a:xfrm>
          <a:off x="0" y="5600700"/>
          <a:ext cx="9867900" cy="19050"/>
        </a:xfrm>
        <a:prstGeom prst="rect">
          <a:avLst/>
        </a:prstGeom>
      </xdr:spPr>
    </xdr:pic>
    <xdr:clientData/>
  </xdr:oneCellAnchor>
  <xdr:oneCellAnchor>
    <xdr:from>
      <xdr:col>0</xdr:col>
      <xdr:colOff>0</xdr:colOff>
      <xdr:row>25</xdr:row>
      <xdr:rowOff>0</xdr:rowOff>
    </xdr:from>
    <xdr:ext cx="9867900" cy="19050"/>
    <xdr:pic>
      <xdr:nvPicPr>
        <xdr:cNvPr id="5" name="Picture 4">
          <a:extLst>
            <a:ext uri="{FF2B5EF4-FFF2-40B4-BE49-F238E27FC236}">
              <a16:creationId xmlns:a16="http://schemas.microsoft.com/office/drawing/2014/main" id="{00000000-0008-0000-0900-000005000000}"/>
            </a:ext>
          </a:extLst>
        </xdr:cNvPr>
        <xdr:cNvPicPr/>
      </xdr:nvPicPr>
      <xdr:blipFill>
        <a:blip xmlns:r="http://schemas.openxmlformats.org/officeDocument/2006/relationships" r:embed="rId1" cstate="print"/>
        <a:srcRect/>
        <a:stretch>
          <a:fillRect/>
        </a:stretch>
      </xdr:blipFill>
      <xdr:spPr>
        <a:xfrm>
          <a:off x="0" y="5600700"/>
          <a:ext cx="9867900" cy="19050"/>
        </a:xfrm>
        <a:prstGeom prst="rect">
          <a:avLst/>
        </a:prstGeom>
      </xdr:spPr>
    </xdr:pic>
    <xdr:clientData/>
  </xdr:oneCellAnchor>
  <xdr:oneCellAnchor>
    <xdr:from>
      <xdr:col>0</xdr:col>
      <xdr:colOff>0</xdr:colOff>
      <xdr:row>25</xdr:row>
      <xdr:rowOff>0</xdr:rowOff>
    </xdr:from>
    <xdr:ext cx="9867900" cy="19050"/>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cstate="print"/>
        <a:srcRect/>
        <a:stretch>
          <a:fillRect/>
        </a:stretch>
      </xdr:blipFill>
      <xdr:spPr>
        <a:xfrm>
          <a:off x="0" y="5600700"/>
          <a:ext cx="9867900" cy="19050"/>
        </a:xfrm>
        <a:prstGeom prst="rect">
          <a:avLst/>
        </a:prstGeom>
      </xdr:spPr>
    </xdr:pic>
    <xdr:clientData/>
  </xdr:oneCellAnchor>
  <xdr:oneCellAnchor>
    <xdr:from>
      <xdr:col>0</xdr:col>
      <xdr:colOff>0</xdr:colOff>
      <xdr:row>25</xdr:row>
      <xdr:rowOff>0</xdr:rowOff>
    </xdr:from>
    <xdr:ext cx="9867900" cy="19050"/>
    <xdr:pic>
      <xdr:nvPicPr>
        <xdr:cNvPr id="7" name="Picture 6">
          <a:extLst>
            <a:ext uri="{FF2B5EF4-FFF2-40B4-BE49-F238E27FC236}">
              <a16:creationId xmlns:a16="http://schemas.microsoft.com/office/drawing/2014/main" id="{00000000-0008-0000-0900-000007000000}"/>
            </a:ext>
          </a:extLst>
        </xdr:cNvPr>
        <xdr:cNvPicPr/>
      </xdr:nvPicPr>
      <xdr:blipFill>
        <a:blip xmlns:r="http://schemas.openxmlformats.org/officeDocument/2006/relationships" r:embed="rId1" cstate="print"/>
        <a:srcRect/>
        <a:stretch>
          <a:fillRect/>
        </a:stretch>
      </xdr:blipFill>
      <xdr:spPr>
        <a:xfrm>
          <a:off x="0" y="5600700"/>
          <a:ext cx="9867900" cy="19050"/>
        </a:xfrm>
        <a:prstGeom prst="rect">
          <a:avLst/>
        </a:prstGeom>
      </xdr:spPr>
    </xdr:pic>
    <xdr:clientData/>
  </xdr:oneCellAnchor>
  <xdr:oneCellAnchor>
    <xdr:from>
      <xdr:col>0</xdr:col>
      <xdr:colOff>0</xdr:colOff>
      <xdr:row>25</xdr:row>
      <xdr:rowOff>0</xdr:rowOff>
    </xdr:from>
    <xdr:ext cx="9867900" cy="19050"/>
    <xdr:pic>
      <xdr:nvPicPr>
        <xdr:cNvPr id="8" name="Picture 7">
          <a:extLst>
            <a:ext uri="{FF2B5EF4-FFF2-40B4-BE49-F238E27FC236}">
              <a16:creationId xmlns:a16="http://schemas.microsoft.com/office/drawing/2014/main" id="{00000000-0008-0000-0900-000008000000}"/>
            </a:ext>
          </a:extLst>
        </xdr:cNvPr>
        <xdr:cNvPicPr/>
      </xdr:nvPicPr>
      <xdr:blipFill>
        <a:blip xmlns:r="http://schemas.openxmlformats.org/officeDocument/2006/relationships" r:embed="rId1" cstate="print"/>
        <a:srcRect/>
        <a:stretch>
          <a:fillRect/>
        </a:stretch>
      </xdr:blipFill>
      <xdr:spPr>
        <a:xfrm>
          <a:off x="0" y="5600700"/>
          <a:ext cx="9867900" cy="19050"/>
        </a:xfrm>
        <a:prstGeom prst="rect">
          <a:avLst/>
        </a:prstGeom>
      </xdr:spPr>
    </xdr:pic>
    <xdr:clientData/>
  </xdr:oneCellAnchor>
  <xdr:oneCellAnchor>
    <xdr:from>
      <xdr:col>0</xdr:col>
      <xdr:colOff>0</xdr:colOff>
      <xdr:row>25</xdr:row>
      <xdr:rowOff>0</xdr:rowOff>
    </xdr:from>
    <xdr:ext cx="9867900" cy="19050"/>
    <xdr:pic>
      <xdr:nvPicPr>
        <xdr:cNvPr id="9" name="Picture 8">
          <a:extLst>
            <a:ext uri="{FF2B5EF4-FFF2-40B4-BE49-F238E27FC236}">
              <a16:creationId xmlns:a16="http://schemas.microsoft.com/office/drawing/2014/main" id="{00000000-0008-0000-0900-000009000000}"/>
            </a:ext>
          </a:extLst>
        </xdr:cNvPr>
        <xdr:cNvPicPr/>
      </xdr:nvPicPr>
      <xdr:blipFill>
        <a:blip xmlns:r="http://schemas.openxmlformats.org/officeDocument/2006/relationships" r:embed="rId1" cstate="print"/>
        <a:srcRect/>
        <a:stretch>
          <a:fillRect/>
        </a:stretch>
      </xdr:blipFill>
      <xdr:spPr>
        <a:xfrm>
          <a:off x="0" y="5600700"/>
          <a:ext cx="9867900" cy="19050"/>
        </a:xfrm>
        <a:prstGeom prst="rect">
          <a:avLst/>
        </a:prstGeom>
      </xdr:spPr>
    </xdr:pic>
    <xdr:clientData/>
  </xdr:oneCellAnchor>
  <xdr:oneCellAnchor>
    <xdr:from>
      <xdr:col>0</xdr:col>
      <xdr:colOff>0</xdr:colOff>
      <xdr:row>25</xdr:row>
      <xdr:rowOff>0</xdr:rowOff>
    </xdr:from>
    <xdr:ext cx="9867900" cy="19050"/>
    <xdr:pic>
      <xdr:nvPicPr>
        <xdr:cNvPr id="10" name="Picture 9">
          <a:extLst>
            <a:ext uri="{FF2B5EF4-FFF2-40B4-BE49-F238E27FC236}">
              <a16:creationId xmlns:a16="http://schemas.microsoft.com/office/drawing/2014/main" id="{00000000-0008-0000-0900-00000A000000}"/>
            </a:ext>
          </a:extLst>
        </xdr:cNvPr>
        <xdr:cNvPicPr/>
      </xdr:nvPicPr>
      <xdr:blipFill>
        <a:blip xmlns:r="http://schemas.openxmlformats.org/officeDocument/2006/relationships" r:embed="rId1" cstate="print"/>
        <a:srcRect/>
        <a:stretch>
          <a:fillRect/>
        </a:stretch>
      </xdr:blipFill>
      <xdr:spPr>
        <a:xfrm>
          <a:off x="0" y="5600700"/>
          <a:ext cx="9867900" cy="19050"/>
        </a:xfrm>
        <a:prstGeom prst="rect">
          <a:avLst/>
        </a:prstGeom>
      </xdr:spPr>
    </xdr:pic>
    <xdr:clientData/>
  </xdr:oneCellAnchor>
  <xdr:oneCellAnchor>
    <xdr:from>
      <xdr:col>0</xdr:col>
      <xdr:colOff>0</xdr:colOff>
      <xdr:row>25</xdr:row>
      <xdr:rowOff>0</xdr:rowOff>
    </xdr:from>
    <xdr:ext cx="9867900" cy="19050"/>
    <xdr:pic>
      <xdr:nvPicPr>
        <xdr:cNvPr id="11" name="Picture 10">
          <a:extLst>
            <a:ext uri="{FF2B5EF4-FFF2-40B4-BE49-F238E27FC236}">
              <a16:creationId xmlns:a16="http://schemas.microsoft.com/office/drawing/2014/main" id="{00000000-0008-0000-0900-00000B000000}"/>
            </a:ext>
          </a:extLst>
        </xdr:cNvPr>
        <xdr:cNvPicPr/>
      </xdr:nvPicPr>
      <xdr:blipFill>
        <a:blip xmlns:r="http://schemas.openxmlformats.org/officeDocument/2006/relationships" r:embed="rId1" cstate="print"/>
        <a:srcRect/>
        <a:stretch>
          <a:fillRect/>
        </a:stretch>
      </xdr:blipFill>
      <xdr:spPr>
        <a:xfrm>
          <a:off x="0" y="5600700"/>
          <a:ext cx="9867900" cy="19050"/>
        </a:xfrm>
        <a:prstGeom prst="rect">
          <a:avLst/>
        </a:prstGeom>
      </xdr:spPr>
    </xdr:pic>
    <xdr:clientData/>
  </xdr:oneCellAnchor>
  <xdr:oneCellAnchor>
    <xdr:from>
      <xdr:col>0</xdr:col>
      <xdr:colOff>0</xdr:colOff>
      <xdr:row>25</xdr:row>
      <xdr:rowOff>0</xdr:rowOff>
    </xdr:from>
    <xdr:ext cx="9867900" cy="19050"/>
    <xdr:pic>
      <xdr:nvPicPr>
        <xdr:cNvPr id="12" name="Picture 11">
          <a:extLst>
            <a:ext uri="{FF2B5EF4-FFF2-40B4-BE49-F238E27FC236}">
              <a16:creationId xmlns:a16="http://schemas.microsoft.com/office/drawing/2014/main" id="{00000000-0008-0000-0900-00000C000000}"/>
            </a:ext>
          </a:extLst>
        </xdr:cNvPr>
        <xdr:cNvPicPr/>
      </xdr:nvPicPr>
      <xdr:blipFill>
        <a:blip xmlns:r="http://schemas.openxmlformats.org/officeDocument/2006/relationships" r:embed="rId1" cstate="print"/>
        <a:srcRect/>
        <a:stretch>
          <a:fillRect/>
        </a:stretch>
      </xdr:blipFill>
      <xdr:spPr>
        <a:xfrm>
          <a:off x="0" y="5600700"/>
          <a:ext cx="9867900" cy="19050"/>
        </a:xfrm>
        <a:prstGeom prst="rect">
          <a:avLst/>
        </a:prstGeom>
      </xdr:spPr>
    </xdr:pic>
    <xdr:clientData/>
  </xdr:oneCellAnchor>
  <xdr:oneCellAnchor>
    <xdr:from>
      <xdr:col>0</xdr:col>
      <xdr:colOff>0</xdr:colOff>
      <xdr:row>25</xdr:row>
      <xdr:rowOff>0</xdr:rowOff>
    </xdr:from>
    <xdr:ext cx="9867900" cy="19050"/>
    <xdr:pic>
      <xdr:nvPicPr>
        <xdr:cNvPr id="13" name="Picture 12">
          <a:extLst>
            <a:ext uri="{FF2B5EF4-FFF2-40B4-BE49-F238E27FC236}">
              <a16:creationId xmlns:a16="http://schemas.microsoft.com/office/drawing/2014/main" id="{00000000-0008-0000-0900-00000D000000}"/>
            </a:ext>
          </a:extLst>
        </xdr:cNvPr>
        <xdr:cNvPicPr/>
      </xdr:nvPicPr>
      <xdr:blipFill>
        <a:blip xmlns:r="http://schemas.openxmlformats.org/officeDocument/2006/relationships" r:embed="rId1" cstate="print"/>
        <a:srcRect/>
        <a:stretch>
          <a:fillRect/>
        </a:stretch>
      </xdr:blipFill>
      <xdr:spPr>
        <a:xfrm>
          <a:off x="0" y="5600700"/>
          <a:ext cx="9867900" cy="19050"/>
        </a:xfrm>
        <a:prstGeom prst="rect">
          <a:avLst/>
        </a:prstGeom>
      </xdr:spPr>
    </xdr:pic>
    <xdr:clientData/>
  </xdr:oneCellAnchor>
  <xdr:oneCellAnchor>
    <xdr:from>
      <xdr:col>0</xdr:col>
      <xdr:colOff>0</xdr:colOff>
      <xdr:row>25</xdr:row>
      <xdr:rowOff>0</xdr:rowOff>
    </xdr:from>
    <xdr:ext cx="9867900" cy="19050"/>
    <xdr:pic>
      <xdr:nvPicPr>
        <xdr:cNvPr id="14" name="Picture 13">
          <a:extLst>
            <a:ext uri="{FF2B5EF4-FFF2-40B4-BE49-F238E27FC236}">
              <a16:creationId xmlns:a16="http://schemas.microsoft.com/office/drawing/2014/main" id="{F77E2799-FD88-4591-AA04-65A1E9FC3A95}"/>
            </a:ext>
          </a:extLst>
        </xdr:cNvPr>
        <xdr:cNvPicPr/>
      </xdr:nvPicPr>
      <xdr:blipFill>
        <a:blip xmlns:r="http://schemas.openxmlformats.org/officeDocument/2006/relationships" r:embed="rId2"/>
        <a:srcRect/>
        <a:stretch>
          <a:fillRect/>
        </a:stretch>
      </xdr:blipFill>
      <xdr:spPr>
        <a:xfrm>
          <a:off x="0" y="5600700"/>
          <a:ext cx="9867900" cy="19050"/>
        </a:xfrm>
        <a:prstGeom prst="rect">
          <a:avLst/>
        </a:prstGeom>
      </xdr:spPr>
    </xdr:pic>
    <xdr:clientData/>
  </xdr:oneCellAnchor>
  <xdr:oneCellAnchor>
    <xdr:from>
      <xdr:col>0</xdr:col>
      <xdr:colOff>0</xdr:colOff>
      <xdr:row>25</xdr:row>
      <xdr:rowOff>0</xdr:rowOff>
    </xdr:from>
    <xdr:ext cx="9867900" cy="19050"/>
    <xdr:pic>
      <xdr:nvPicPr>
        <xdr:cNvPr id="15" name="Picture 14">
          <a:extLst>
            <a:ext uri="{FF2B5EF4-FFF2-40B4-BE49-F238E27FC236}">
              <a16:creationId xmlns:a16="http://schemas.microsoft.com/office/drawing/2014/main" id="{2FAA1AAB-1B4F-434E-AE74-40548F8CFA8B}"/>
            </a:ext>
          </a:extLst>
        </xdr:cNvPr>
        <xdr:cNvPicPr/>
      </xdr:nvPicPr>
      <xdr:blipFill>
        <a:blip xmlns:r="http://schemas.openxmlformats.org/officeDocument/2006/relationships" r:embed="rId2"/>
        <a:srcRect/>
        <a:stretch>
          <a:fillRect/>
        </a:stretch>
      </xdr:blipFill>
      <xdr:spPr>
        <a:xfrm>
          <a:off x="0" y="5600700"/>
          <a:ext cx="9867900" cy="19050"/>
        </a:xfrm>
        <a:prstGeom prst="rect">
          <a:avLst/>
        </a:prstGeom>
      </xdr:spPr>
    </xdr:pic>
    <xdr:clientData/>
  </xdr:oneCellAnchor>
  <xdr:oneCellAnchor>
    <xdr:from>
      <xdr:col>0</xdr:col>
      <xdr:colOff>0</xdr:colOff>
      <xdr:row>25</xdr:row>
      <xdr:rowOff>0</xdr:rowOff>
    </xdr:from>
    <xdr:ext cx="9867900" cy="19050"/>
    <xdr:pic>
      <xdr:nvPicPr>
        <xdr:cNvPr id="16" name="Picture 15">
          <a:extLst>
            <a:ext uri="{FF2B5EF4-FFF2-40B4-BE49-F238E27FC236}">
              <a16:creationId xmlns:a16="http://schemas.microsoft.com/office/drawing/2014/main" id="{2FA6CA5E-534D-4EEE-89E1-DA7E8B796607}"/>
            </a:ext>
          </a:extLst>
        </xdr:cNvPr>
        <xdr:cNvPicPr/>
      </xdr:nvPicPr>
      <xdr:blipFill>
        <a:blip xmlns:r="http://schemas.openxmlformats.org/officeDocument/2006/relationships" r:embed="rId2"/>
        <a:srcRect/>
        <a:stretch>
          <a:fillRect/>
        </a:stretch>
      </xdr:blipFill>
      <xdr:spPr>
        <a:xfrm>
          <a:off x="0" y="5505450"/>
          <a:ext cx="9867900" cy="190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379581</xdr:colOff>
      <xdr:row>31</xdr:row>
      <xdr:rowOff>50779</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11352381" cy="5247619"/>
        </a:xfrm>
        <a:prstGeom prst="rect">
          <a:avLst/>
        </a:prstGeom>
      </xdr:spPr>
    </xdr:pic>
    <xdr:clientData/>
  </xdr:twoCellAnchor>
  <xdr:twoCellAnchor editAs="oneCell">
    <xdr:from>
      <xdr:col>0</xdr:col>
      <xdr:colOff>0</xdr:colOff>
      <xdr:row>34</xdr:row>
      <xdr:rowOff>0</xdr:rowOff>
    </xdr:from>
    <xdr:to>
      <xdr:col>18</xdr:col>
      <xdr:colOff>465295</xdr:colOff>
      <xdr:row>56</xdr:row>
      <xdr:rowOff>16682</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a:stretch>
          <a:fillRect/>
        </a:stretch>
      </xdr:blipFill>
      <xdr:spPr>
        <a:xfrm>
          <a:off x="0" y="5699760"/>
          <a:ext cx="11438095" cy="37047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obi\Desktop\SELENGE\TAILAN%20TO%20TBT\Monthly%20report%20format_Gobi_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ownloads\GOYO%20NOOLUUR_Balanc_2019Q1_a%20mayagt_SYam_todruulg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1/Monthly%20report%202020/GOBI_Monthly%20report_20201231_TBG_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1/Monthly%20report%202020/GOBI_Monthly%20report_20201231_sangiin%20ya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1/2020_S%20sheet/GOBI_pdated%20S%20file%20sections%20TBG_202012_2021010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1/Monthly%20report%202020/GOBI_Monthly%20report_20201231_TBG_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1/Monthly%20report%202020/GOBI_Monthly%20report_20191231_0424_group.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obi_S/Tailan2018/Audit_2018/GOBI/Gobi_Required%20information_2018123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elengeDIR\Desktop\Desk%20files\SELENGE\TAILAN%202017\Monthly%20report%202017\Monthly%20report_Gobi_2017_Negtgel_0131_2018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
      <sheetName val="IS by dep"/>
      <sheetName val="BS"/>
      <sheetName val="BS D"/>
      <sheetName val="intercompany"/>
      <sheetName val="related party"/>
      <sheetName val="Other"/>
      <sheetName val="tatan tovloruulsen nogdol ashig"/>
      <sheetName val="avlaga;oglog"/>
      <sheetName val="elegdel"/>
      <sheetName val="TAX"/>
      <sheetName val="Sheet2"/>
      <sheetName val="Sheet1"/>
      <sheetName val="Ortog zadargaa"/>
    </sheetNames>
    <sheetDataSet>
      <sheetData sheetId="0">
        <row r="97">
          <cell r="C97">
            <v>1163657059.6100004</v>
          </cell>
        </row>
      </sheetData>
      <sheetData sheetId="1"/>
      <sheetData sheetId="2"/>
      <sheetData sheetId="3">
        <row r="23">
          <cell r="I23">
            <v>122399029.19</v>
          </cell>
        </row>
      </sheetData>
      <sheetData sheetId="4">
        <row r="15">
          <cell r="X15">
            <v>12082934200.000401</v>
          </cell>
        </row>
        <row r="26">
          <cell r="X26">
            <v>15450</v>
          </cell>
        </row>
        <row r="43">
          <cell r="G43">
            <v>0</v>
          </cell>
        </row>
        <row r="54">
          <cell r="G54">
            <v>0</v>
          </cell>
        </row>
        <row r="71">
          <cell r="G71">
            <v>0</v>
          </cell>
        </row>
        <row r="82">
          <cell r="G82">
            <v>0</v>
          </cell>
        </row>
        <row r="99">
          <cell r="G99">
            <v>0</v>
          </cell>
        </row>
        <row r="110">
          <cell r="G110">
            <v>0</v>
          </cell>
        </row>
        <row r="127">
          <cell r="G127">
            <v>0</v>
          </cell>
          <cell r="H127">
            <v>0</v>
          </cell>
        </row>
        <row r="138">
          <cell r="G138">
            <v>0</v>
          </cell>
          <cell r="H138">
            <v>0</v>
          </cell>
        </row>
        <row r="211">
          <cell r="G211">
            <v>0</v>
          </cell>
        </row>
        <row r="222">
          <cell r="G222">
            <v>0</v>
          </cell>
        </row>
        <row r="267">
          <cell r="G267">
            <v>0</v>
          </cell>
        </row>
        <row r="278">
          <cell r="G278">
            <v>0</v>
          </cell>
        </row>
        <row r="295">
          <cell r="G295">
            <v>0</v>
          </cell>
        </row>
        <row r="306">
          <cell r="G306">
            <v>0</v>
          </cell>
        </row>
        <row r="323">
          <cell r="G323">
            <v>0</v>
          </cell>
        </row>
        <row r="334">
          <cell r="G334">
            <v>0</v>
          </cell>
        </row>
      </sheetData>
      <sheetData sheetId="5">
        <row r="13">
          <cell r="L13">
            <v>62748781.649599999</v>
          </cell>
        </row>
        <row r="22">
          <cell r="F22">
            <v>0</v>
          </cell>
        </row>
        <row r="36">
          <cell r="F36">
            <v>0</v>
          </cell>
        </row>
        <row r="45">
          <cell r="F45">
            <v>0</v>
          </cell>
        </row>
        <row r="59">
          <cell r="F59">
            <v>0</v>
          </cell>
        </row>
        <row r="68">
          <cell r="F68">
            <v>0</v>
          </cell>
        </row>
        <row r="91">
          <cell r="F91">
            <v>0</v>
          </cell>
        </row>
        <row r="105">
          <cell r="F105">
            <v>0</v>
          </cell>
          <cell r="G105">
            <v>0</v>
          </cell>
        </row>
        <row r="114">
          <cell r="F114">
            <v>0</v>
          </cell>
          <cell r="G114">
            <v>0</v>
          </cell>
        </row>
        <row r="174">
          <cell r="F174">
            <v>0</v>
          </cell>
        </row>
        <row r="183">
          <cell r="F183">
            <v>0</v>
          </cell>
        </row>
        <row r="220">
          <cell r="F220">
            <v>0</v>
          </cell>
        </row>
        <row r="229">
          <cell r="F229">
            <v>0</v>
          </cell>
        </row>
        <row r="243">
          <cell r="F243">
            <v>0</v>
          </cell>
        </row>
        <row r="252">
          <cell r="F252">
            <v>0</v>
          </cell>
        </row>
        <row r="266">
          <cell r="F266">
            <v>0</v>
          </cell>
        </row>
        <row r="275">
          <cell r="F275">
            <v>0</v>
          </cell>
        </row>
      </sheetData>
      <sheetData sheetId="6"/>
      <sheetData sheetId="7"/>
      <sheetData sheetId="8"/>
      <sheetData sheetId="9"/>
      <sheetData sheetId="10">
        <row r="162">
          <cell r="D162">
            <v>11611892.939999999</v>
          </cell>
        </row>
      </sheetData>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uur"/>
      <sheetName val="nuur1"/>
      <sheetName val="BL mn"/>
      <sheetName val="MBL"/>
      <sheetName val="BL pr"/>
      <sheetName val="balance"/>
      <sheetName val="income pr"/>
      <sheetName val="income"/>
      <sheetName val="CF mn"/>
      <sheetName val="cash flow"/>
      <sheetName val="capital pr"/>
      <sheetName val="equ"/>
      <sheetName val="TOD2017_201805"/>
      <sheetName val="todruulgaCash&gt;avlaga"/>
      <sheetName val="tod avlaga hevleh"/>
      <sheetName val="todruulga-Undsen hurungu"/>
      <sheetName val="tod undsen hevleh"/>
      <sheetName val="todruulga-ur tulbur"/>
      <sheetName val="tod ur tul"/>
      <sheetName val="Monthly"/>
      <sheetName val="todruulga-Zardal"/>
      <sheetName val="todruulga zardal"/>
      <sheetName val="todruulga-busad"/>
      <sheetName val="tod busad"/>
      <sheetName val="hansh"/>
      <sheetName val="hansh 2015"/>
      <sheetName val="XXM"/>
    </sheetNames>
    <sheetDataSet>
      <sheetData sheetId="0" refreshError="1"/>
      <sheetData sheetId="1">
        <row r="3">
          <cell r="A3" t="str">
            <v xml:space="preserve"> ГОЁО НООЛУУР ХХК-ИЙН</v>
          </cell>
        </row>
        <row r="7">
          <cell r="A7" t="str">
            <v>2019  оны  06  сарын 30 өдөр</v>
          </cell>
        </row>
        <row r="19">
          <cell r="A19" t="str">
            <v xml:space="preserve">                                       Гүйцэтгэх  Захирал:        ________________                              /Ц.Баатарсайхан/</v>
          </cell>
        </row>
        <row r="21">
          <cell r="A21" t="str">
            <v xml:space="preserve">                                             СБУГ-ийн захирал:        ________________               /Г.Сэлэнгэ/</v>
          </cell>
        </row>
      </sheetData>
      <sheetData sheetId="2" refreshError="1"/>
      <sheetData sheetId="3" refreshError="1"/>
      <sheetData sheetId="4" refreshError="1"/>
      <sheetData sheetId="5">
        <row r="58">
          <cell r="D58">
            <v>20160055367</v>
          </cell>
        </row>
        <row r="62">
          <cell r="D62">
            <v>6013584797.7800007</v>
          </cell>
        </row>
        <row r="65">
          <cell r="D65">
            <v>-27022907470.549999</v>
          </cell>
        </row>
        <row r="67">
          <cell r="D67">
            <v>-849267305.77000046</v>
          </cell>
        </row>
      </sheetData>
      <sheetData sheetId="6" refreshError="1"/>
      <sheetData sheetId="7"/>
      <sheetData sheetId="8" refreshError="1"/>
      <sheetData sheetId="9">
        <row r="60">
          <cell r="B60" t="str">
            <v xml:space="preserve">                                       Гүйцэтгэх  Захирал:        ________________                              /Ц.Баатарсайхан/</v>
          </cell>
        </row>
        <row r="62">
          <cell r="B62" t="str">
            <v xml:space="preserve">                                             СБУГ-ийн захирал:        ________________               /Г.Сэлэнгэ/</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format 3a"/>
      <sheetName val="Gobi"/>
      <sheetName val="BerlinBS"/>
      <sheetName val="EreenBS"/>
      <sheetName val="USABS"/>
      <sheetName val="Goyo New"/>
      <sheetName val="IS negtgel"/>
      <sheetName val="Sheet2"/>
      <sheetName val="IS GOBI 3b"/>
      <sheetName val="Sheet1"/>
      <sheetName val="GOYO"/>
      <sheetName val="IS final"/>
      <sheetName val="Berlin"/>
      <sheetName val="Ereen"/>
      <sheetName val="USA_IS"/>
    </sheetNames>
    <sheetDataSet>
      <sheetData sheetId="0">
        <row r="89">
          <cell r="CK89">
            <v>30054995.800000001</v>
          </cell>
        </row>
      </sheetData>
      <sheetData sheetId="1">
        <row r="89">
          <cell r="M89">
            <v>30054995.800000001</v>
          </cell>
        </row>
      </sheetData>
      <sheetData sheetId="2"/>
      <sheetData sheetId="3"/>
      <sheetData sheetId="4"/>
      <sheetData sheetId="5"/>
      <sheetData sheetId="6">
        <row r="115">
          <cell r="N115">
            <v>-9641983242.4367924</v>
          </cell>
        </row>
      </sheetData>
      <sheetData sheetId="7"/>
      <sheetData sheetId="8">
        <row r="11">
          <cell r="AX11">
            <v>118863982623.67998</v>
          </cell>
        </row>
        <row r="12">
          <cell r="AX12">
            <v>123293877945.15999</v>
          </cell>
        </row>
        <row r="13">
          <cell r="AX13">
            <v>4162515922.8200002</v>
          </cell>
        </row>
        <row r="14">
          <cell r="AX14">
            <v>267379398.66</v>
          </cell>
        </row>
        <row r="97">
          <cell r="AX97">
            <v>9036800</v>
          </cell>
        </row>
        <row r="100">
          <cell r="BA100">
            <v>628852810.65999997</v>
          </cell>
        </row>
        <row r="101">
          <cell r="AX101">
            <v>2116353</v>
          </cell>
        </row>
        <row r="102">
          <cell r="AX102">
            <v>74450236.370000005</v>
          </cell>
        </row>
        <row r="103">
          <cell r="AX103">
            <v>98631544.560000002</v>
          </cell>
        </row>
        <row r="104">
          <cell r="AX104">
            <v>3523863.64</v>
          </cell>
        </row>
        <row r="110">
          <cell r="AX110">
            <v>362908454.97000003</v>
          </cell>
        </row>
        <row r="111">
          <cell r="AX111">
            <v>87222358.12000002</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format 3a"/>
      <sheetName val="Gobi"/>
      <sheetName val="BerlinBS"/>
      <sheetName val="EreenBS"/>
      <sheetName val="USABS"/>
      <sheetName val="Goyo New"/>
      <sheetName val="IS negtgel"/>
      <sheetName val="Sheet2"/>
      <sheetName val="IS GOBI 3b"/>
      <sheetName val="Sheet1"/>
      <sheetName val="GOYO"/>
      <sheetName val="IS final"/>
      <sheetName val="Berlin"/>
      <sheetName val="Ereen"/>
      <sheetName val="USA_IS"/>
    </sheetNames>
    <sheetDataSet>
      <sheetData sheetId="0" refreshError="1"/>
      <sheetData sheetId="1">
        <row r="17">
          <cell r="M17">
            <v>1705022192.7</v>
          </cell>
        </row>
        <row r="96">
          <cell r="M96">
            <v>1427413641.3400002</v>
          </cell>
        </row>
        <row r="153">
          <cell r="M153">
            <v>265445612722.09</v>
          </cell>
        </row>
      </sheetData>
      <sheetData sheetId="2" refreshError="1"/>
      <sheetData sheetId="3" refreshError="1"/>
      <sheetData sheetId="4" refreshError="1"/>
      <sheetData sheetId="5" refreshError="1"/>
      <sheetData sheetId="6" refreshError="1"/>
      <sheetData sheetId="7" refreshError="1"/>
      <sheetData sheetId="8">
        <row r="19">
          <cell r="AX19">
            <v>14538033203.959997</v>
          </cell>
        </row>
        <row r="54">
          <cell r="AX54">
            <v>12109482327.554665</v>
          </cell>
        </row>
        <row r="55">
          <cell r="AX55">
            <v>5256588564.1800003</v>
          </cell>
        </row>
        <row r="57">
          <cell r="AX57">
            <v>259946073.03999999</v>
          </cell>
        </row>
        <row r="58">
          <cell r="AX58">
            <v>32142792.77</v>
          </cell>
        </row>
        <row r="59">
          <cell r="AX59">
            <v>529788426.86466455</v>
          </cell>
        </row>
        <row r="60">
          <cell r="AX60">
            <v>9570478.5399999991</v>
          </cell>
        </row>
        <row r="61">
          <cell r="AX61">
            <v>69283996.680000007</v>
          </cell>
        </row>
        <row r="62">
          <cell r="AX62">
            <v>80671422.539999992</v>
          </cell>
        </row>
        <row r="63">
          <cell r="AX63">
            <v>226553630.81999999</v>
          </cell>
        </row>
        <row r="64">
          <cell r="AX64">
            <v>66737528.279999994</v>
          </cell>
        </row>
        <row r="65">
          <cell r="AX65">
            <v>327938111.89999998</v>
          </cell>
        </row>
        <row r="66">
          <cell r="AX66">
            <v>91681104.25</v>
          </cell>
        </row>
        <row r="67">
          <cell r="AX67">
            <v>143597852.19000003</v>
          </cell>
        </row>
        <row r="68">
          <cell r="AX68">
            <v>2367261180.25</v>
          </cell>
        </row>
        <row r="69">
          <cell r="AX69">
            <v>0</v>
          </cell>
        </row>
        <row r="70">
          <cell r="AX70">
            <v>577745833.81999993</v>
          </cell>
        </row>
        <row r="72">
          <cell r="AX72">
            <v>87794417.49000001</v>
          </cell>
        </row>
        <row r="73">
          <cell r="AX73">
            <v>0</v>
          </cell>
        </row>
        <row r="74">
          <cell r="AX74">
            <v>746178742.18999982</v>
          </cell>
        </row>
        <row r="75">
          <cell r="AX75">
            <v>2820958.95</v>
          </cell>
        </row>
        <row r="77">
          <cell r="AX77">
            <v>4581496.21</v>
          </cell>
        </row>
        <row r="78">
          <cell r="AX78">
            <v>1228599716.5900006</v>
          </cell>
        </row>
        <row r="93">
          <cell r="AX93">
            <v>107923763.58</v>
          </cell>
        </row>
        <row r="97">
          <cell r="AX97">
            <v>9036800</v>
          </cell>
        </row>
        <row r="99">
          <cell r="AX99">
            <v>220651461.19</v>
          </cell>
        </row>
        <row r="132">
          <cell r="AX132">
            <v>-1589106771.2069998</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quired information"/>
      <sheetName val="S1-GOBI"/>
      <sheetName val="S1-GOYO"/>
      <sheetName val="S1-US"/>
      <sheetName val="S1-EU"/>
      <sheetName val="S1-CHN"/>
      <sheetName val="S2"/>
      <sheetName val="S2-GOBI"/>
      <sheetName val="S2-CHN"/>
      <sheetName val="S2-US"/>
      <sheetName val="S2-EU"/>
      <sheetName val="S2a-GOBI"/>
      <sheetName val="S2a-CHN"/>
      <sheetName val="S2d-GOBI"/>
      <sheetName val="S2d-CHN"/>
      <sheetName val="S2d-EU"/>
      <sheetName val="S2d-GOYO"/>
      <sheetName val="S3-GOBI"/>
      <sheetName val="S3-US"/>
      <sheetName val="S3-EU"/>
      <sheetName val="S3-CN"/>
      <sheetName val="S3b-GOBI"/>
      <sheetName val="S3c-GOBI"/>
      <sheetName val="S3e-GOBI"/>
      <sheetName val="asset"/>
      <sheetName val="depreciation"/>
      <sheetName val="Ashiglah erhtei hurungu"/>
      <sheetName val="S4"/>
      <sheetName val="S4a"/>
      <sheetName val="S4b"/>
      <sheetName val="S4c"/>
      <sheetName val="S4d"/>
      <sheetName val="S5"/>
      <sheetName val="S5a"/>
      <sheetName val="S5-Summary movement 2020"/>
      <sheetName val="S5b-GOBI"/>
      <sheetName val="S5c"/>
      <sheetName val="S6-US"/>
      <sheetName val="S6-CN"/>
      <sheetName val="S6-EU"/>
      <sheetName val="S6-GOBI"/>
      <sheetName val="S6-GOYO"/>
      <sheetName val="S7"/>
      <sheetName val="S7a"/>
      <sheetName val="S8"/>
      <sheetName val="S8a"/>
      <sheetName val="S9"/>
      <sheetName val="S9b"/>
      <sheetName val="S10"/>
      <sheetName val="S11"/>
      <sheetName val="S14"/>
      <sheetName val="S15"/>
      <sheetName val="S16"/>
      <sheetName val="S18-GOBI"/>
      <sheetName val="S3d-GOBI"/>
      <sheetName val="S19"/>
      <sheetName val="Todruulga"/>
      <sheetName val="accrual list"/>
      <sheetName val="Monthly_BS"/>
      <sheetName val="Monthly_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133">
          <cell r="F2133">
            <v>4220661435.8499947</v>
          </cell>
          <cell r="L2133">
            <v>32036250.889999993</v>
          </cell>
          <cell r="T2133">
            <v>22036363.629999999</v>
          </cell>
          <cell r="Z2133">
            <v>65421854.039999992</v>
          </cell>
          <cell r="AJ2133">
            <v>4165239469.0699944</v>
          </cell>
        </row>
        <row r="4558">
          <cell r="F4558">
            <v>3836551671.4299998</v>
          </cell>
          <cell r="L4558">
            <v>229912107.64000002</v>
          </cell>
          <cell r="Z4558">
            <v>37875848.480000004</v>
          </cell>
          <cell r="AJ4558">
            <v>4028587930.5899997</v>
          </cell>
        </row>
        <row r="5838">
          <cell r="F5838">
            <v>912048638</v>
          </cell>
          <cell r="AJ5838">
            <v>912048638</v>
          </cell>
        </row>
        <row r="5840">
          <cell r="AJ5840">
            <v>18353734579.509998</v>
          </cell>
        </row>
        <row r="5846">
          <cell r="AJ5846">
            <v>210470722467.34967</v>
          </cell>
        </row>
      </sheetData>
      <sheetData sheetId="25">
        <row r="2076">
          <cell r="G2076">
            <v>14569511.66</v>
          </cell>
          <cell r="H2076">
            <v>49319797.650000013</v>
          </cell>
          <cell r="L2076">
            <v>396014804.57999951</v>
          </cell>
        </row>
        <row r="4282">
          <cell r="H4282">
            <v>10635090.92</v>
          </cell>
        </row>
      </sheetData>
      <sheetData sheetId="26"/>
      <sheetData sheetId="27">
        <row r="17">
          <cell r="B17">
            <v>62038838498.110008</v>
          </cell>
          <cell r="C17">
            <v>242531818.18000001</v>
          </cell>
          <cell r="F17">
            <v>11134152634.519958</v>
          </cell>
          <cell r="H17">
            <v>73415522950.809967</v>
          </cell>
        </row>
        <row r="18">
          <cell r="B18">
            <v>94138017080.719696</v>
          </cell>
          <cell r="C18">
            <v>166504179.68000001</v>
          </cell>
          <cell r="D18">
            <v>5301000</v>
          </cell>
          <cell r="E18">
            <v>14322520.449999999</v>
          </cell>
          <cell r="I18">
            <v>94284897739.949997</v>
          </cell>
        </row>
        <row r="20">
          <cell r="B20">
            <v>2582291075.0600004</v>
          </cell>
          <cell r="D20">
            <v>57295723.640000001</v>
          </cell>
        </row>
        <row r="31">
          <cell r="C31">
            <v>2161624050.2826514</v>
          </cell>
          <cell r="F31">
            <v>6847095250.1100025</v>
          </cell>
          <cell r="H31">
            <v>599424730.31265068</v>
          </cell>
        </row>
        <row r="32">
          <cell r="C32">
            <v>7914807108.9099827</v>
          </cell>
          <cell r="E32">
            <v>2047025.3799999997</v>
          </cell>
          <cell r="G32">
            <v>2332624.1399999997</v>
          </cell>
          <cell r="H32">
            <v>52330631680.399986</v>
          </cell>
        </row>
        <row r="34">
          <cell r="C34">
            <v>252577210.25999996</v>
          </cell>
          <cell r="D34">
            <v>48035624.060000002</v>
          </cell>
        </row>
        <row r="37">
          <cell r="C37">
            <v>11702548129.252634</v>
          </cell>
        </row>
        <row r="43">
          <cell r="C43">
            <v>41451182.730000004</v>
          </cell>
          <cell r="H43">
            <v>652350791.70000005</v>
          </cell>
        </row>
        <row r="44">
          <cell r="B44">
            <v>165858604.08999997</v>
          </cell>
          <cell r="C44">
            <v>97055502.950000003</v>
          </cell>
          <cell r="H44">
            <v>262914107.03999996</v>
          </cell>
        </row>
        <row r="51">
          <cell r="C51">
            <v>136604788.15000001</v>
          </cell>
          <cell r="H51">
            <v>512975760.30000007</v>
          </cell>
        </row>
        <row r="52">
          <cell r="B52">
            <v>151872227.31999993</v>
          </cell>
          <cell r="C52">
            <v>9737357.2799999993</v>
          </cell>
          <cell r="H52">
            <v>161609584.59999993</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123">
          <cell r="P123">
            <v>4458497759.6099997</v>
          </cell>
        </row>
      </sheetData>
      <sheetData sheetId="57"/>
      <sheetData sheetId="58"/>
      <sheetData sheetId="5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format 3a"/>
      <sheetName val="Gobi"/>
      <sheetName val="BerlinBS"/>
      <sheetName val="EreenBS"/>
      <sheetName val="USABS"/>
      <sheetName val="Goyo New"/>
      <sheetName val="IS negtgel"/>
      <sheetName val="Sheet2"/>
      <sheetName val="IS GOBI 3b"/>
      <sheetName val="Sheet1"/>
      <sheetName val="GOYO"/>
      <sheetName val="IS final"/>
      <sheetName val="Berlin"/>
      <sheetName val="Ereen"/>
      <sheetName val="USA_IS"/>
    </sheetNames>
    <sheetDataSet>
      <sheetData sheetId="0">
        <row r="181">
          <cell r="I181">
            <v>63812281672.936386</v>
          </cell>
        </row>
      </sheetData>
      <sheetData sheetId="1">
        <row r="74">
          <cell r="M74">
            <v>150807557339.49734</v>
          </cell>
        </row>
        <row r="81">
          <cell r="M81">
            <v>2524995351.4200001</v>
          </cell>
        </row>
        <row r="82">
          <cell r="M82">
            <v>-1165869909.2</v>
          </cell>
        </row>
        <row r="83">
          <cell r="M83">
            <v>4165239469.0799999</v>
          </cell>
        </row>
        <row r="84">
          <cell r="M84">
            <v>-1860427337.3399999</v>
          </cell>
        </row>
        <row r="85">
          <cell r="M85">
            <v>4028587930.5900002</v>
          </cell>
        </row>
        <row r="86">
          <cell r="M86">
            <v>-3112765062.8400002</v>
          </cell>
        </row>
        <row r="87">
          <cell r="M87">
            <v>912048638</v>
          </cell>
        </row>
        <row r="88">
          <cell r="M88">
            <v>-594046407.76999986</v>
          </cell>
        </row>
        <row r="89">
          <cell r="M89">
            <v>30054995.800000001</v>
          </cell>
        </row>
        <row r="90">
          <cell r="M90">
            <v>18323679583.709999</v>
          </cell>
        </row>
      </sheetData>
      <sheetData sheetId="2"/>
      <sheetData sheetId="3">
        <row r="180">
          <cell r="M180">
            <v>-3257477844.1413631</v>
          </cell>
        </row>
      </sheetData>
      <sheetData sheetId="4">
        <row r="180">
          <cell r="M180">
            <v>-2883535143.9654727</v>
          </cell>
        </row>
      </sheetData>
      <sheetData sheetId="5">
        <row r="12">
          <cell r="M12">
            <v>9691209.1300000008</v>
          </cell>
        </row>
      </sheetData>
      <sheetData sheetId="6"/>
      <sheetData sheetId="7"/>
      <sheetData sheetId="8">
        <row r="11">
          <cell r="AX11">
            <v>118863982623.67998</v>
          </cell>
        </row>
      </sheetData>
      <sheetData sheetId="9"/>
      <sheetData sheetId="10">
        <row r="133">
          <cell r="AL133">
            <v>25627841.749000002</v>
          </cell>
        </row>
      </sheetData>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accounts 1a"/>
      <sheetName val="IS accounts 1b"/>
      <sheetName val="BS format 2a"/>
      <sheetName val="IS format 2b"/>
      <sheetName val="EQ format 2c"/>
      <sheetName val="CF format 2d"/>
      <sheetName val="todruulga"/>
      <sheetName val="Nuur"/>
      <sheetName val="Brief"/>
      <sheetName val="S8b"/>
      <sheetName val="Sheet4"/>
      <sheetName val="Sheet1"/>
      <sheetName val="BS format 3a"/>
      <sheetName val="UUT"/>
      <sheetName val="Gobi"/>
      <sheetName val="GB"/>
      <sheetName val="BrusselBS"/>
      <sheetName val="Brussel"/>
      <sheetName val="Brusell_ustgal"/>
      <sheetName val="BerlinBS"/>
      <sheetName val="Sheet9"/>
      <sheetName val="EreenBS"/>
      <sheetName val="USABS"/>
      <sheetName val="Goyo Nooluur"/>
      <sheetName val="Goyo New"/>
      <sheetName val="IS negtgel"/>
      <sheetName val="Sheet8"/>
      <sheetName val="Goyo-6"/>
      <sheetName val="IS GOBI 3b"/>
      <sheetName val="GOYO"/>
      <sheetName val="Berlin"/>
      <sheetName val="Ereen"/>
      <sheetName val="USA_IS"/>
      <sheetName val="Sheet5"/>
      <sheetName val="Sheet6"/>
      <sheetName val="Sheet7"/>
      <sheetName val="TAX"/>
      <sheetName val="VS"/>
      <sheetName val="M2017"/>
      <sheetName val="Sheet3"/>
      <sheetName val="CF direct 3c "/>
      <sheetName val="Segment 4"/>
      <sheetName val="Dansnii turul"/>
      <sheetName val="IS example"/>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4">
          <cell r="CP74">
            <v>-2276719200.3297119</v>
          </cell>
        </row>
      </sheetData>
      <sheetData sheetId="13"/>
      <sheetData sheetId="14">
        <row r="16">
          <cell r="M16">
            <v>7729307812.7000008</v>
          </cell>
        </row>
        <row r="92">
          <cell r="M92">
            <v>776758213.06000006</v>
          </cell>
        </row>
        <row r="97">
          <cell r="M97">
            <v>2872131561.5500002</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1"/>
      <sheetName val="S2"/>
      <sheetName val="S2a"/>
      <sheetName val="S2d"/>
      <sheetName val="S3"/>
      <sheetName val="S3b"/>
      <sheetName val="S3c"/>
      <sheetName val="S3d"/>
      <sheetName val="S3e"/>
      <sheetName val="asset"/>
      <sheetName val="depreciation"/>
      <sheetName val="S4"/>
      <sheetName val="S4a"/>
      <sheetName val="S4b "/>
      <sheetName val="S4c"/>
      <sheetName val="S4 nemelt"/>
      <sheetName val="S4d"/>
      <sheetName val="S5"/>
      <sheetName val="S5a"/>
      <sheetName val="S5b"/>
      <sheetName val="S6"/>
      <sheetName val="S7"/>
      <sheetName val="S7a"/>
      <sheetName val="S8a"/>
      <sheetName val="S8b"/>
      <sheetName val="S9a"/>
      <sheetName val="S9b"/>
      <sheetName val="S10"/>
      <sheetName val="S11"/>
      <sheetName val="S12"/>
      <sheetName val="S13"/>
      <sheetName val="S14"/>
      <sheetName val="S15"/>
      <sheetName val="S16"/>
      <sheetName val="S17"/>
      <sheetName val="S18"/>
      <sheetName val="S19"/>
      <sheetName val="S20"/>
      <sheetName val="S21"/>
      <sheetName val="Todruulga"/>
      <sheetName val="Monthly BS"/>
      <sheetName val="Monthly IS"/>
      <sheetName val="Guilgee balance"/>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91">
          <cell r="L91">
            <v>13237212939.189991</v>
          </cell>
        </row>
        <row r="2696">
          <cell r="AK2696">
            <v>2265357153.7499995</v>
          </cell>
        </row>
        <row r="3405">
          <cell r="L3405">
            <v>43524416.780000001</v>
          </cell>
          <cell r="M3405">
            <v>37434800</v>
          </cell>
          <cell r="W3405">
            <v>8284958.4000000004</v>
          </cell>
        </row>
        <row r="3423">
          <cell r="L3423">
            <v>23989136.149999999</v>
          </cell>
          <cell r="Q3423">
            <v>10</v>
          </cell>
        </row>
      </sheetData>
      <sheetData sheetId="11" refreshError="1">
        <row r="84">
          <cell r="D84">
            <v>25637019.879999999</v>
          </cell>
          <cell r="L84">
            <v>4664261879.2699938</v>
          </cell>
        </row>
        <row r="1134">
          <cell r="L1134">
            <v>270135854.79000038</v>
          </cell>
        </row>
        <row r="2675">
          <cell r="L2675">
            <v>214342468.75000009</v>
          </cell>
          <cell r="P2675">
            <v>1645102036.3700001</v>
          </cell>
        </row>
        <row r="3386">
          <cell r="L3386">
            <v>79085232.850000009</v>
          </cell>
        </row>
        <row r="3399">
          <cell r="L3399">
            <v>50072174.010000005</v>
          </cell>
        </row>
      </sheetData>
      <sheetData sheetId="12" refreshError="1">
        <row r="17">
          <cell r="E17">
            <v>5508988360</v>
          </cell>
        </row>
        <row r="36">
          <cell r="E36">
            <v>184507732.41</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0">
          <cell r="B10">
            <v>3599500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gtgel"/>
      <sheetName val="IS"/>
      <sheetName val="Sheet3"/>
      <sheetName val="IS Gobi"/>
      <sheetName val="IS Berlin"/>
      <sheetName val="IS Ereen"/>
      <sheetName val="IS by dep"/>
      <sheetName val="IS Brussels"/>
      <sheetName val="BS"/>
      <sheetName val="BS_GOBI"/>
      <sheetName val="BS D"/>
      <sheetName val="tatan tovloruulsen nogdol ashig"/>
      <sheetName val="avlaga;oglog"/>
      <sheetName val="BS_Berlin"/>
      <sheetName val="BS_Ereen"/>
      <sheetName val="TAX"/>
      <sheetName val="Sheet2"/>
      <sheetName val="Sheet1"/>
      <sheetName val="Ortog zadargaa"/>
      <sheetName val="ameb"/>
      <sheetName val="IS1"/>
      <sheetName val="BS1"/>
      <sheetName val="BS_Brussel"/>
      <sheetName val="intercompany"/>
      <sheetName val="related party"/>
      <sheetName val="Other"/>
      <sheetName val="TAX-2017"/>
      <sheetName val="Elegdliin zardal"/>
      <sheetName val="zardal"/>
      <sheetName val="NA"/>
      <sheetName val="dahin unelgee"/>
      <sheetName val="naidvargui"/>
      <sheetName val="IS last"/>
      <sheetName val="tax last"/>
      <sheetName val="NA hasah"/>
      <sheetName val="13dahibichilt"/>
      <sheetName val="hansh bodit 201611"/>
      <sheetName val="hansh bodit bus 201611"/>
      <sheetName val="undsen hurungu"/>
      <sheetName val="anhaar"/>
      <sheetName val="MH"/>
    </sheetNames>
    <sheetDataSet>
      <sheetData sheetId="0" refreshError="1"/>
      <sheetData sheetId="1">
        <row r="10">
          <cell r="AT10">
            <v>4419742025.8299999</v>
          </cell>
          <cell r="BL10">
            <v>88673668420.860565</v>
          </cell>
        </row>
        <row r="11">
          <cell r="AT11">
            <v>4546851137.29</v>
          </cell>
          <cell r="BL11">
            <v>90957551497.458786</v>
          </cell>
        </row>
        <row r="12">
          <cell r="AT12">
            <v>120641740.81</v>
          </cell>
          <cell r="BL12">
            <v>1847902834.6400001</v>
          </cell>
        </row>
        <row r="13">
          <cell r="AT13">
            <v>6467370.6500000004</v>
          </cell>
          <cell r="BL13">
            <v>435980241.95820004</v>
          </cell>
        </row>
        <row r="14">
          <cell r="BL14">
            <v>0</v>
          </cell>
        </row>
        <row r="15">
          <cell r="AT15">
            <v>2850292656.98</v>
          </cell>
          <cell r="BL15">
            <v>52440855025.627602</v>
          </cell>
        </row>
        <row r="16">
          <cell r="AT16">
            <v>360537352.05763417</v>
          </cell>
          <cell r="BL16">
            <v>6276738538.4427452</v>
          </cell>
        </row>
        <row r="17">
          <cell r="AT17">
            <v>1162173604.8751769</v>
          </cell>
          <cell r="BL17">
            <v>24845633769.881256</v>
          </cell>
        </row>
        <row r="18">
          <cell r="AT18">
            <v>437417439.85127246</v>
          </cell>
          <cell r="BL18">
            <v>7554713311.5760403</v>
          </cell>
        </row>
        <row r="19">
          <cell r="AT19">
            <v>263871166.13586986</v>
          </cell>
          <cell r="BL19">
            <v>5211085212.8974771</v>
          </cell>
        </row>
        <row r="20">
          <cell r="AT20">
            <v>304778943.98004687</v>
          </cell>
          <cell r="BL20">
            <v>4608990781.6200829</v>
          </cell>
        </row>
        <row r="21">
          <cell r="AT21">
            <v>321514150.08000004</v>
          </cell>
          <cell r="BL21">
            <v>3943693411.2099996</v>
          </cell>
        </row>
        <row r="22">
          <cell r="AT22">
            <v>1569449368.8499999</v>
          </cell>
          <cell r="BL22">
            <v>35879316656.252991</v>
          </cell>
        </row>
        <row r="23">
          <cell r="AT23">
            <v>798689472.23000014</v>
          </cell>
          <cell r="BL23">
            <v>13424428321.015001</v>
          </cell>
        </row>
        <row r="24">
          <cell r="AT24">
            <v>281696365.80000001</v>
          </cell>
          <cell r="BL24">
            <v>4099900544.3010001</v>
          </cell>
        </row>
        <row r="25">
          <cell r="AT25">
            <v>34342647.859999999</v>
          </cell>
          <cell r="BL25">
            <v>471615093.45119995</v>
          </cell>
        </row>
        <row r="26">
          <cell r="AT26">
            <v>0</v>
          </cell>
          <cell r="BL26">
            <v>215091235.33000001</v>
          </cell>
        </row>
        <row r="27">
          <cell r="BL27">
            <v>0</v>
          </cell>
        </row>
        <row r="28">
          <cell r="AT28">
            <v>8143171.2299999995</v>
          </cell>
          <cell r="BL28">
            <v>100842009.4251</v>
          </cell>
        </row>
        <row r="29">
          <cell r="AT29">
            <v>3107145.3</v>
          </cell>
          <cell r="BL29">
            <v>49887172.332200006</v>
          </cell>
        </row>
        <row r="30">
          <cell r="AT30">
            <v>72063016.109999999</v>
          </cell>
          <cell r="BL30">
            <v>787588355.08999991</v>
          </cell>
        </row>
        <row r="31">
          <cell r="AT31">
            <v>4087061.1</v>
          </cell>
          <cell r="BL31">
            <v>87904120.499999985</v>
          </cell>
        </row>
        <row r="32">
          <cell r="AT32">
            <v>230000</v>
          </cell>
          <cell r="BL32">
            <v>83632541.079999998</v>
          </cell>
        </row>
        <row r="33">
          <cell r="AT33">
            <v>15026451.57</v>
          </cell>
          <cell r="BL33">
            <v>282185878.19</v>
          </cell>
        </row>
        <row r="34">
          <cell r="AT34">
            <v>73030062.569999993</v>
          </cell>
          <cell r="BL34">
            <v>1460292203.2783999</v>
          </cell>
        </row>
        <row r="35">
          <cell r="BL35">
            <v>13028950</v>
          </cell>
        </row>
        <row r="36">
          <cell r="AT36">
            <v>70104090.340000004</v>
          </cell>
          <cell r="BL36">
            <v>2146200428.2554543</v>
          </cell>
        </row>
        <row r="37">
          <cell r="BL37">
            <v>0</v>
          </cell>
        </row>
        <row r="38">
          <cell r="AT38">
            <v>13213807.109999999</v>
          </cell>
          <cell r="BL38">
            <v>179599592.25500003</v>
          </cell>
        </row>
        <row r="39">
          <cell r="AT39">
            <v>290909.09000000003</v>
          </cell>
          <cell r="BL39">
            <v>16343573.000000002</v>
          </cell>
        </row>
        <row r="40">
          <cell r="AT40">
            <v>29768867.960000001</v>
          </cell>
          <cell r="BL40">
            <v>488130890.87279999</v>
          </cell>
        </row>
        <row r="41">
          <cell r="AT41">
            <v>15012915.530000001</v>
          </cell>
          <cell r="BL41">
            <v>189224629.891</v>
          </cell>
        </row>
        <row r="42">
          <cell r="AT42">
            <v>24879542.34</v>
          </cell>
          <cell r="BL42">
            <v>352424278.07999998</v>
          </cell>
        </row>
        <row r="43">
          <cell r="BL43">
            <v>3418744.3642000002</v>
          </cell>
        </row>
        <row r="44">
          <cell r="BL44">
            <v>30853465.626499999</v>
          </cell>
        </row>
        <row r="45">
          <cell r="AT45">
            <v>0</v>
          </cell>
          <cell r="BL45">
            <v>57823762.627800003</v>
          </cell>
        </row>
        <row r="46">
          <cell r="AT46">
            <v>422551.95</v>
          </cell>
          <cell r="BL46">
            <v>6188119.1099999994</v>
          </cell>
        </row>
        <row r="47">
          <cell r="AT47">
            <v>682693.54</v>
          </cell>
          <cell r="BL47">
            <v>11315142.25</v>
          </cell>
        </row>
        <row r="48">
          <cell r="AT48">
            <v>3600000</v>
          </cell>
          <cell r="BL48">
            <v>53120265</v>
          </cell>
        </row>
        <row r="49">
          <cell r="BL49">
            <v>0</v>
          </cell>
        </row>
        <row r="50">
          <cell r="BL50">
            <v>0</v>
          </cell>
        </row>
        <row r="51">
          <cell r="AT51">
            <v>45653549.159999996</v>
          </cell>
          <cell r="BL51">
            <v>934885229.83270001</v>
          </cell>
        </row>
        <row r="52">
          <cell r="AT52">
            <v>144700</v>
          </cell>
          <cell r="BL52">
            <v>12631231.16</v>
          </cell>
        </row>
        <row r="53">
          <cell r="AT53">
            <v>70043007.849999994</v>
          </cell>
          <cell r="BL53">
            <v>987790746.57410002</v>
          </cell>
        </row>
        <row r="54">
          <cell r="BL54">
            <v>0</v>
          </cell>
        </row>
        <row r="55">
          <cell r="BL55">
            <v>0</v>
          </cell>
        </row>
        <row r="56">
          <cell r="AT56">
            <v>15545454.550000001</v>
          </cell>
          <cell r="BL56">
            <v>195702262.73454544</v>
          </cell>
        </row>
        <row r="57">
          <cell r="BL57">
            <v>0</v>
          </cell>
        </row>
        <row r="58">
          <cell r="BL58">
            <v>0</v>
          </cell>
        </row>
        <row r="59">
          <cell r="AT59">
            <v>2241461.27</v>
          </cell>
          <cell r="BL59">
            <v>43582386.959999993</v>
          </cell>
        </row>
        <row r="60">
          <cell r="BL60">
            <v>0</v>
          </cell>
        </row>
        <row r="61">
          <cell r="BL61">
            <v>0</v>
          </cell>
        </row>
        <row r="62">
          <cell r="AT62">
            <v>15360000</v>
          </cell>
          <cell r="BL62">
            <v>62413244.700000003</v>
          </cell>
        </row>
        <row r="63">
          <cell r="BL63">
            <v>812224.74300000002</v>
          </cell>
        </row>
        <row r="64">
          <cell r="BL64">
            <v>0</v>
          </cell>
        </row>
        <row r="65">
          <cell r="BL65">
            <v>0</v>
          </cell>
        </row>
        <row r="66">
          <cell r="AT66">
            <v>770759896.61999977</v>
          </cell>
          <cell r="BL66">
            <v>22808385074.218006</v>
          </cell>
        </row>
        <row r="67">
          <cell r="AT67">
            <v>82298344.25999999</v>
          </cell>
          <cell r="BL67">
            <v>3025411911.6499996</v>
          </cell>
        </row>
        <row r="68">
          <cell r="AT68">
            <v>-8716645.5099999998</v>
          </cell>
          <cell r="BL68">
            <v>1725065238.7800002</v>
          </cell>
        </row>
        <row r="69">
          <cell r="AT69">
            <v>105188628.29000001</v>
          </cell>
          <cell r="BL69">
            <v>1727697784.9099998</v>
          </cell>
        </row>
        <row r="70">
          <cell r="AT70">
            <v>-19200</v>
          </cell>
          <cell r="BL70">
            <v>-331200</v>
          </cell>
        </row>
        <row r="71">
          <cell r="BL71">
            <v>0</v>
          </cell>
        </row>
        <row r="72">
          <cell r="BL72">
            <v>1663991.04</v>
          </cell>
        </row>
        <row r="73">
          <cell r="AT73">
            <v>11863904.83</v>
          </cell>
          <cell r="BL73">
            <v>159117060.36000001</v>
          </cell>
        </row>
        <row r="74">
          <cell r="BL74">
            <v>0</v>
          </cell>
        </row>
        <row r="75">
          <cell r="BL75">
            <v>0</v>
          </cell>
        </row>
        <row r="76">
          <cell r="BL76">
            <v>0</v>
          </cell>
        </row>
        <row r="77">
          <cell r="AT77">
            <v>-26018343.350000009</v>
          </cell>
          <cell r="BL77">
            <v>-588251352.9000001</v>
          </cell>
        </row>
        <row r="78">
          <cell r="AT78">
            <v>853058240.87999976</v>
          </cell>
          <cell r="BL78">
            <v>25833346596.407997</v>
          </cell>
        </row>
        <row r="79">
          <cell r="AT79">
            <v>51148394.280000001</v>
          </cell>
          <cell r="BL79">
            <v>620388179.92929983</v>
          </cell>
        </row>
        <row r="80">
          <cell r="AT80">
            <v>-27730672.640000015</v>
          </cell>
          <cell r="BL80">
            <v>95091490.190000057</v>
          </cell>
        </row>
        <row r="81">
          <cell r="BL81">
            <v>0</v>
          </cell>
        </row>
        <row r="82">
          <cell r="AT82">
            <v>0</v>
          </cell>
          <cell r="BL82">
            <v>-14802798.15</v>
          </cell>
        </row>
        <row r="83">
          <cell r="AT83">
            <v>0</v>
          </cell>
          <cell r="BL83">
            <v>-142581878.61000001</v>
          </cell>
        </row>
        <row r="84">
          <cell r="BL84">
            <v>-200000000</v>
          </cell>
        </row>
        <row r="85">
          <cell r="AT85">
            <v>-27730672.640000015</v>
          </cell>
          <cell r="BL85">
            <v>450614248.46000004</v>
          </cell>
        </row>
        <row r="86">
          <cell r="AT86">
            <v>0</v>
          </cell>
          <cell r="BL86">
            <v>1861918.49</v>
          </cell>
        </row>
        <row r="87">
          <cell r="BL87">
            <v>0</v>
          </cell>
        </row>
        <row r="88">
          <cell r="BL88">
            <v>0</v>
          </cell>
        </row>
        <row r="89">
          <cell r="AT89">
            <v>774179173.9599998</v>
          </cell>
          <cell r="BL89">
            <v>25131751926.638699</v>
          </cell>
        </row>
        <row r="90">
          <cell r="AT90">
            <v>374383798.57999998</v>
          </cell>
          <cell r="BL90">
            <v>4172549650.3429999</v>
          </cell>
        </row>
        <row r="91">
          <cell r="BL91">
            <v>0</v>
          </cell>
        </row>
        <row r="92">
          <cell r="BL92">
            <v>1049351.6329999999</v>
          </cell>
        </row>
        <row r="93">
          <cell r="AT93">
            <v>374383798.57999998</v>
          </cell>
          <cell r="BL93">
            <v>4171500298.71</v>
          </cell>
        </row>
        <row r="94">
          <cell r="BL94">
            <v>0</v>
          </cell>
        </row>
        <row r="95">
          <cell r="AT95">
            <v>399795375.37999982</v>
          </cell>
          <cell r="BL95">
            <v>21135500256.325703</v>
          </cell>
        </row>
        <row r="96">
          <cell r="AT96">
            <v>2978408.32</v>
          </cell>
          <cell r="BL96">
            <v>273728876.50999999</v>
          </cell>
        </row>
        <row r="97">
          <cell r="AT97">
            <v>46718316.57</v>
          </cell>
          <cell r="BL97">
            <v>4722867211.0599995</v>
          </cell>
        </row>
        <row r="98">
          <cell r="AF98">
            <v>937728142.7636379</v>
          </cell>
          <cell r="AT98">
            <v>350098650.48999983</v>
          </cell>
          <cell r="BL98">
            <v>16138904168.755701</v>
          </cell>
        </row>
      </sheetData>
      <sheetData sheetId="2" refreshError="1"/>
      <sheetData sheetId="3" refreshError="1"/>
      <sheetData sheetId="4">
        <row r="79">
          <cell r="AM79">
            <v>42673442.608300008</v>
          </cell>
        </row>
      </sheetData>
      <sheetData sheetId="5">
        <row r="79">
          <cell r="AM79">
            <v>17698361.095600002</v>
          </cell>
        </row>
      </sheetData>
      <sheetData sheetId="6" refreshError="1"/>
      <sheetData sheetId="7">
        <row r="79">
          <cell r="AM79">
            <v>21776309.612483922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0">
          <cell r="J20">
            <v>5276317.08</v>
          </cell>
          <cell r="K20">
            <v>64096.800000000003</v>
          </cell>
          <cell r="L20">
            <v>1260411.0799999998</v>
          </cell>
          <cell r="M20">
            <v>5276317.08</v>
          </cell>
          <cell r="N20">
            <v>129264478.48</v>
          </cell>
        </row>
        <row r="21">
          <cell r="K21">
            <v>4030938.7716757399</v>
          </cell>
        </row>
        <row r="22">
          <cell r="C22">
            <v>276867854.76999998</v>
          </cell>
          <cell r="D22">
            <v>168610832.38</v>
          </cell>
          <cell r="E22">
            <v>323283196.88999999</v>
          </cell>
          <cell r="F22">
            <v>387492224.45999992</v>
          </cell>
          <cell r="G22">
            <v>362148782.38999999</v>
          </cell>
          <cell r="H22">
            <v>620807619.30999994</v>
          </cell>
          <cell r="I22">
            <v>3350028146.6399999</v>
          </cell>
          <cell r="J22">
            <v>411489436.81999999</v>
          </cell>
          <cell r="K22">
            <v>830922838.62167573</v>
          </cell>
          <cell r="L22">
            <v>333544430.81</v>
          </cell>
          <cell r="M22">
            <v>435654453.32999998</v>
          </cell>
          <cell r="N22">
            <v>452105523.72999996</v>
          </cell>
          <cell r="O22">
            <v>7952955340.1516771</v>
          </cell>
        </row>
        <row r="41">
          <cell r="K41">
            <v>780298098.34000003</v>
          </cell>
          <cell r="L41">
            <v>294835132.44</v>
          </cell>
          <cell r="M41">
            <v>861323608.04999995</v>
          </cell>
          <cell r="N41">
            <v>758118605.16000009</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2:F40"/>
  <sheetViews>
    <sheetView tabSelected="1" topLeftCell="A7" workbookViewId="0">
      <selection activeCell="E19" sqref="E19"/>
    </sheetView>
  </sheetViews>
  <sheetFormatPr defaultColWidth="9.109375" defaultRowHeight="13.8"/>
  <cols>
    <col min="1" max="1" width="3" style="8" customWidth="1"/>
    <col min="2" max="2" width="9.88671875" style="8" customWidth="1"/>
    <col min="3" max="3" width="42.88671875" style="8" customWidth="1"/>
    <col min="4" max="4" width="12.88671875" style="8" customWidth="1"/>
    <col min="5" max="5" width="23" style="8" customWidth="1"/>
    <col min="6" max="6" width="8.44140625" style="8" customWidth="1"/>
    <col min="7" max="8" width="10" style="8" customWidth="1"/>
    <col min="9" max="9" width="8.5546875" style="8" customWidth="1"/>
    <col min="10" max="10" width="9.5546875" style="8" customWidth="1"/>
    <col min="11" max="11" width="10" style="8" customWidth="1"/>
    <col min="12" max="16" width="12.109375" style="8" customWidth="1"/>
    <col min="17" max="16384" width="9.109375" style="8"/>
  </cols>
  <sheetData>
    <row r="2" spans="2:5">
      <c r="E2" s="9" t="s">
        <v>3</v>
      </c>
    </row>
    <row r="3" spans="2:5">
      <c r="E3" s="9" t="s">
        <v>2</v>
      </c>
    </row>
    <row r="4" spans="2:5">
      <c r="E4" s="10" t="s">
        <v>116</v>
      </c>
    </row>
    <row r="5" spans="2:5">
      <c r="E5" s="10"/>
    </row>
    <row r="6" spans="2:5">
      <c r="E6" s="10"/>
    </row>
    <row r="8" spans="2:5">
      <c r="B8" s="11" t="s">
        <v>494</v>
      </c>
    </row>
    <row r="9" spans="2:5">
      <c r="B9" s="11"/>
    </row>
    <row r="10" spans="2:5">
      <c r="B10" s="11" t="s">
        <v>492</v>
      </c>
      <c r="C10" s="8" t="s">
        <v>495</v>
      </c>
    </row>
    <row r="12" spans="2:5">
      <c r="B12" s="11" t="s">
        <v>1441</v>
      </c>
    </row>
    <row r="13" spans="2:5">
      <c r="B13" s="11"/>
    </row>
    <row r="14" spans="2:5">
      <c r="B14" s="11" t="s">
        <v>114</v>
      </c>
      <c r="C14" s="12">
        <v>70141819</v>
      </c>
      <c r="D14" s="8" t="s">
        <v>493</v>
      </c>
      <c r="E14" s="8">
        <v>70143081</v>
      </c>
    </row>
    <row r="16" spans="2:5">
      <c r="B16" s="11" t="s">
        <v>496</v>
      </c>
    </row>
    <row r="17" spans="2:5">
      <c r="B17" s="11"/>
    </row>
    <row r="18" spans="2:5">
      <c r="B18" s="11"/>
    </row>
    <row r="21" spans="2:5" ht="17.25" customHeight="1">
      <c r="B21" s="934" t="s">
        <v>1035</v>
      </c>
      <c r="C21" s="936" t="s">
        <v>497</v>
      </c>
      <c r="D21" s="936"/>
      <c r="E21" s="936"/>
    </row>
    <row r="22" spans="2:5" ht="17.25" customHeight="1">
      <c r="B22" s="935"/>
      <c r="C22" s="936" t="s">
        <v>1446</v>
      </c>
      <c r="D22" s="936"/>
      <c r="E22" s="936"/>
    </row>
    <row r="23" spans="2:5" ht="17.25" customHeight="1">
      <c r="B23" s="935"/>
      <c r="C23" s="936" t="s">
        <v>1438</v>
      </c>
      <c r="D23" s="936"/>
      <c r="E23" s="936"/>
    </row>
    <row r="25" spans="2:5">
      <c r="B25" s="13"/>
    </row>
    <row r="32" spans="2:5">
      <c r="C32" s="11"/>
    </row>
    <row r="36" spans="2:6" ht="16.5" customHeight="1">
      <c r="B36" s="937" t="s">
        <v>169</v>
      </c>
      <c r="C36" s="937"/>
      <c r="D36" s="14" t="s">
        <v>170</v>
      </c>
      <c r="E36" s="14" t="s">
        <v>171</v>
      </c>
      <c r="F36" s="15"/>
    </row>
    <row r="37" spans="2:6" ht="16.5" customHeight="1">
      <c r="B37" s="933" t="s">
        <v>498</v>
      </c>
      <c r="C37" s="933"/>
      <c r="D37" s="16"/>
      <c r="E37" s="16"/>
    </row>
    <row r="38" spans="2:6" ht="16.5" customHeight="1">
      <c r="B38" s="933" t="s">
        <v>499</v>
      </c>
      <c r="C38" s="933"/>
      <c r="D38" s="16"/>
      <c r="E38" s="16"/>
    </row>
    <row r="39" spans="2:6" ht="16.5" customHeight="1">
      <c r="B39" s="932"/>
      <c r="C39" s="932"/>
      <c r="D39" s="16"/>
      <c r="E39" s="16"/>
    </row>
    <row r="40" spans="2:6" ht="16.5" customHeight="1">
      <c r="B40" s="932"/>
      <c r="C40" s="932"/>
      <c r="D40" s="16"/>
      <c r="E40" s="16"/>
    </row>
  </sheetData>
  <mergeCells count="9">
    <mergeCell ref="B39:C39"/>
    <mergeCell ref="B40:C40"/>
    <mergeCell ref="B38:C38"/>
    <mergeCell ref="B21:B23"/>
    <mergeCell ref="C22:E22"/>
    <mergeCell ref="C23:E23"/>
    <mergeCell ref="B36:C36"/>
    <mergeCell ref="B37:C37"/>
    <mergeCell ref="C21:E21"/>
  </mergeCells>
  <phoneticPr fontId="9" type="noConversion"/>
  <pageMargins left="0.7" right="0.49" top="0.75" bottom="0.54"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7"/>
  <sheetViews>
    <sheetView workbookViewId="0">
      <selection activeCell="B5" sqref="B5:C5"/>
    </sheetView>
  </sheetViews>
  <sheetFormatPr defaultColWidth="9.109375" defaultRowHeight="12"/>
  <cols>
    <col min="1" max="1" width="4.109375" style="797" customWidth="1"/>
    <col min="2" max="2" width="4" style="797" customWidth="1"/>
    <col min="3" max="3" width="34.5546875" style="797" customWidth="1"/>
    <col min="4" max="6" width="13.109375" style="797" customWidth="1"/>
    <col min="7" max="7" width="14" style="797" bestFit="1" customWidth="1"/>
    <col min="8" max="8" width="11.6640625" style="797" customWidth="1"/>
    <col min="9" max="9" width="1.44140625" style="797" customWidth="1"/>
    <col min="10" max="10" width="9.5546875" style="797" customWidth="1"/>
    <col min="11" max="11" width="3.6640625" style="797" customWidth="1"/>
    <col min="12" max="12" width="13.5546875" style="797" bestFit="1" customWidth="1"/>
    <col min="13" max="13" width="2.5546875" style="797" customWidth="1"/>
    <col min="14" max="14" width="13.109375" style="797" customWidth="1"/>
    <col min="15" max="16384" width="9.109375" style="797"/>
  </cols>
  <sheetData>
    <row r="1" spans="1:14" ht="25.5" customHeight="1"/>
    <row r="2" spans="1:14" ht="18" customHeight="1">
      <c r="A2" s="949" t="s">
        <v>795</v>
      </c>
      <c r="B2" s="949"/>
      <c r="C2" s="949"/>
      <c r="D2" s="949"/>
      <c r="E2" s="949"/>
      <c r="F2" s="949"/>
      <c r="G2" s="949"/>
      <c r="H2" s="949"/>
      <c r="I2" s="949"/>
      <c r="J2" s="949"/>
      <c r="K2" s="949"/>
      <c r="L2" s="949"/>
      <c r="M2" s="949"/>
      <c r="N2" s="949"/>
    </row>
    <row r="3" spans="1:14" ht="22.5" customHeight="1"/>
    <row r="4" spans="1:14" ht="24" customHeight="1">
      <c r="A4" s="953" t="s">
        <v>969</v>
      </c>
      <c r="B4" s="953"/>
      <c r="C4" s="953"/>
      <c r="D4" s="953"/>
      <c r="E4" s="953"/>
      <c r="F4" s="953"/>
      <c r="G4" s="953"/>
      <c r="H4" s="953"/>
      <c r="I4" s="953"/>
      <c r="J4" s="953"/>
      <c r="K4" s="953"/>
      <c r="L4" s="953"/>
      <c r="M4" s="953"/>
      <c r="N4" s="953"/>
    </row>
    <row r="5" spans="1:14" ht="25.5" customHeight="1"/>
    <row r="6" spans="1:14" ht="14.25" customHeight="1">
      <c r="A6" s="954"/>
      <c r="B6" s="954"/>
      <c r="C6" s="954"/>
      <c r="D6" s="955" t="s">
        <v>797</v>
      </c>
      <c r="E6" s="955"/>
      <c r="F6" s="955"/>
      <c r="G6" s="955"/>
      <c r="H6" s="955"/>
      <c r="I6" s="955"/>
      <c r="J6" s="955"/>
      <c r="K6" s="955"/>
      <c r="L6" s="954" t="s">
        <v>1099</v>
      </c>
      <c r="M6" s="954"/>
      <c r="N6" s="954"/>
    </row>
    <row r="7" spans="1:14" ht="5.25" customHeight="1"/>
    <row r="8" spans="1:14" ht="43.5" customHeight="1">
      <c r="A8" s="795"/>
      <c r="B8" s="956" t="s">
        <v>5</v>
      </c>
      <c r="C8" s="956"/>
      <c r="D8" s="795" t="s">
        <v>81</v>
      </c>
      <c r="E8" s="795" t="s">
        <v>48</v>
      </c>
      <c r="F8" s="795" t="s">
        <v>50</v>
      </c>
      <c r="G8" s="795" t="s">
        <v>52</v>
      </c>
      <c r="H8" s="795" t="s">
        <v>54</v>
      </c>
      <c r="I8" s="956" t="s">
        <v>56</v>
      </c>
      <c r="J8" s="956"/>
      <c r="K8" s="956" t="s">
        <v>58</v>
      </c>
      <c r="L8" s="956"/>
      <c r="M8" s="981" t="s">
        <v>82</v>
      </c>
      <c r="N8" s="981"/>
    </row>
    <row r="9" spans="1:14" ht="14.25" customHeight="1">
      <c r="A9" s="798">
        <v>1</v>
      </c>
      <c r="B9" s="952" t="s">
        <v>1014</v>
      </c>
      <c r="C9" s="952"/>
      <c r="D9" s="796">
        <v>1560225000</v>
      </c>
      <c r="E9" s="796">
        <v>0</v>
      </c>
      <c r="F9" s="796">
        <v>0</v>
      </c>
      <c r="G9" s="796">
        <v>26741958757.18</v>
      </c>
      <c r="H9" s="796">
        <v>0</v>
      </c>
      <c r="I9" s="973">
        <v>0</v>
      </c>
      <c r="J9" s="973"/>
      <c r="K9" s="973">
        <v>108648291046.66</v>
      </c>
      <c r="L9" s="973"/>
      <c r="M9" s="974">
        <v>136950474803.84</v>
      </c>
      <c r="N9" s="974"/>
    </row>
    <row r="10" spans="1:14" ht="23.25" customHeight="1">
      <c r="A10" s="798">
        <v>2</v>
      </c>
      <c r="B10" s="952" t="s">
        <v>83</v>
      </c>
      <c r="C10" s="952"/>
      <c r="D10" s="796">
        <v>0</v>
      </c>
      <c r="E10" s="796">
        <v>0</v>
      </c>
      <c r="F10" s="796">
        <v>0</v>
      </c>
      <c r="G10" s="796">
        <v>0</v>
      </c>
      <c r="H10" s="796">
        <v>0</v>
      </c>
      <c r="I10" s="973">
        <v>0</v>
      </c>
      <c r="J10" s="973"/>
      <c r="K10" s="973">
        <v>0</v>
      </c>
      <c r="L10" s="973"/>
      <c r="M10" s="974">
        <v>0</v>
      </c>
      <c r="N10" s="974"/>
    </row>
    <row r="11" spans="1:14" ht="14.25" customHeight="1">
      <c r="A11" s="798">
        <v>3</v>
      </c>
      <c r="B11" s="952" t="s">
        <v>970</v>
      </c>
      <c r="C11" s="952"/>
      <c r="D11" s="796">
        <v>1560225000</v>
      </c>
      <c r="E11" s="796">
        <v>0</v>
      </c>
      <c r="F11" s="796">
        <v>0</v>
      </c>
      <c r="G11" s="796">
        <v>26741958757.18</v>
      </c>
      <c r="H11" s="796">
        <v>0</v>
      </c>
      <c r="I11" s="973">
        <v>0</v>
      </c>
      <c r="J11" s="973"/>
      <c r="K11" s="973">
        <v>108648291046.66</v>
      </c>
      <c r="L11" s="973"/>
      <c r="M11" s="974">
        <v>136950474803.84</v>
      </c>
      <c r="N11" s="974"/>
    </row>
    <row r="12" spans="1:14" ht="14.25" customHeight="1">
      <c r="A12" s="798">
        <v>4</v>
      </c>
      <c r="B12" s="952" t="s">
        <v>85</v>
      </c>
      <c r="C12" s="952"/>
      <c r="D12" s="796">
        <v>0</v>
      </c>
      <c r="E12" s="796">
        <v>0</v>
      </c>
      <c r="F12" s="796">
        <v>0</v>
      </c>
      <c r="G12" s="796">
        <v>0</v>
      </c>
      <c r="H12" s="796">
        <v>0</v>
      </c>
      <c r="I12" s="973">
        <v>0</v>
      </c>
      <c r="J12" s="973"/>
      <c r="K12" s="973">
        <v>0</v>
      </c>
      <c r="L12" s="973"/>
      <c r="M12" s="974">
        <v>0</v>
      </c>
      <c r="N12" s="974"/>
    </row>
    <row r="13" spans="1:14" ht="15" customHeight="1">
      <c r="A13" s="798">
        <v>5</v>
      </c>
      <c r="B13" s="952" t="s">
        <v>971</v>
      </c>
      <c r="C13" s="952"/>
      <c r="D13" s="796">
        <v>0</v>
      </c>
      <c r="E13" s="796">
        <v>0</v>
      </c>
      <c r="F13" s="796">
        <v>0</v>
      </c>
      <c r="G13" s="796">
        <v>0</v>
      </c>
      <c r="H13" s="796">
        <v>0</v>
      </c>
      <c r="I13" s="973">
        <v>0</v>
      </c>
      <c r="J13" s="973"/>
      <c r="K13" s="973">
        <v>0</v>
      </c>
      <c r="L13" s="973"/>
      <c r="M13" s="974">
        <v>0</v>
      </c>
      <c r="N13" s="974"/>
    </row>
    <row r="14" spans="1:14" ht="14.25" customHeight="1">
      <c r="A14" s="455">
        <v>6</v>
      </c>
      <c r="B14" s="978" t="s">
        <v>87</v>
      </c>
      <c r="C14" s="978"/>
      <c r="D14" s="794">
        <v>0</v>
      </c>
      <c r="E14" s="794">
        <v>0</v>
      </c>
      <c r="F14" s="794">
        <v>0</v>
      </c>
      <c r="G14" s="794">
        <v>0</v>
      </c>
      <c r="H14" s="794">
        <v>0</v>
      </c>
      <c r="I14" s="979">
        <v>0</v>
      </c>
      <c r="J14" s="979"/>
      <c r="K14" s="979">
        <v>-1092157500</v>
      </c>
      <c r="L14" s="979"/>
      <c r="M14" s="980">
        <v>-1092157500</v>
      </c>
      <c r="N14" s="980"/>
    </row>
    <row r="15" spans="1:14" ht="14.25" customHeight="1">
      <c r="A15" s="798">
        <v>7</v>
      </c>
      <c r="B15" s="952" t="s">
        <v>972</v>
      </c>
      <c r="C15" s="952"/>
      <c r="D15" s="796">
        <v>0</v>
      </c>
      <c r="E15" s="796">
        <v>0</v>
      </c>
      <c r="F15" s="796">
        <v>0</v>
      </c>
      <c r="G15" s="796">
        <v>0</v>
      </c>
      <c r="H15" s="796">
        <v>0</v>
      </c>
      <c r="I15" s="973">
        <v>0</v>
      </c>
      <c r="J15" s="973"/>
      <c r="K15" s="973">
        <v>17017975312.389999</v>
      </c>
      <c r="L15" s="973"/>
      <c r="M15" s="974">
        <v>17017975312.389999</v>
      </c>
      <c r="N15" s="974"/>
    </row>
    <row r="16" spans="1:14" ht="14.25" customHeight="1">
      <c r="A16" s="798">
        <v>8</v>
      </c>
      <c r="B16" s="952" t="s">
        <v>88</v>
      </c>
      <c r="C16" s="952"/>
      <c r="D16" s="796">
        <v>0</v>
      </c>
      <c r="E16" s="796">
        <v>0</v>
      </c>
      <c r="F16" s="796">
        <v>0</v>
      </c>
      <c r="G16" s="796">
        <v>0</v>
      </c>
      <c r="H16" s="796">
        <v>0</v>
      </c>
      <c r="I16" s="973">
        <v>0</v>
      </c>
      <c r="J16" s="973"/>
      <c r="K16" s="973">
        <v>0</v>
      </c>
      <c r="L16" s="973"/>
      <c r="M16" s="974">
        <v>0</v>
      </c>
      <c r="N16" s="974"/>
    </row>
    <row r="17" spans="1:14" ht="14.25" customHeight="1">
      <c r="A17" s="798">
        <v>9</v>
      </c>
      <c r="B17" s="952" t="s">
        <v>1092</v>
      </c>
      <c r="C17" s="952"/>
      <c r="D17" s="796">
        <v>780112500</v>
      </c>
      <c r="E17" s="796">
        <v>0</v>
      </c>
      <c r="F17" s="796">
        <v>0</v>
      </c>
      <c r="G17" s="796">
        <v>14849519333.43</v>
      </c>
      <c r="H17" s="796">
        <v>0</v>
      </c>
      <c r="I17" s="973">
        <v>0</v>
      </c>
      <c r="J17" s="973"/>
      <c r="K17" s="973">
        <v>71048142580.880005</v>
      </c>
      <c r="L17" s="973"/>
      <c r="M17" s="974">
        <v>86677774414.309998</v>
      </c>
      <c r="N17" s="974"/>
    </row>
    <row r="18" spans="1:14" ht="23.25" customHeight="1">
      <c r="A18" s="798">
        <v>10</v>
      </c>
      <c r="B18" s="952" t="s">
        <v>83</v>
      </c>
      <c r="C18" s="952"/>
      <c r="D18" s="796">
        <v>0</v>
      </c>
      <c r="E18" s="796">
        <v>0</v>
      </c>
      <c r="F18" s="796">
        <v>0</v>
      </c>
      <c r="G18" s="796">
        <v>0</v>
      </c>
      <c r="H18" s="796">
        <v>0</v>
      </c>
      <c r="I18" s="973">
        <v>0</v>
      </c>
      <c r="J18" s="973"/>
      <c r="K18" s="973">
        <v>0</v>
      </c>
      <c r="L18" s="973"/>
      <c r="M18" s="974">
        <v>0</v>
      </c>
      <c r="N18" s="974"/>
    </row>
    <row r="19" spans="1:14" ht="14.25" customHeight="1">
      <c r="A19" s="798">
        <v>11</v>
      </c>
      <c r="B19" s="952" t="s">
        <v>970</v>
      </c>
      <c r="C19" s="952"/>
      <c r="D19" s="796">
        <v>780112500</v>
      </c>
      <c r="E19" s="796">
        <v>0</v>
      </c>
      <c r="F19" s="796">
        <v>0</v>
      </c>
      <c r="G19" s="796">
        <v>14849519333.43</v>
      </c>
      <c r="H19" s="796">
        <v>0</v>
      </c>
      <c r="I19" s="973">
        <v>0</v>
      </c>
      <c r="J19" s="973"/>
      <c r="K19" s="973">
        <v>71048142580.880005</v>
      </c>
      <c r="L19" s="973"/>
      <c r="M19" s="974">
        <v>86677774414.309998</v>
      </c>
      <c r="N19" s="974"/>
    </row>
    <row r="20" spans="1:14" ht="15" customHeight="1">
      <c r="A20" s="798">
        <v>12</v>
      </c>
      <c r="B20" s="952" t="s">
        <v>85</v>
      </c>
      <c r="C20" s="952"/>
      <c r="D20" s="796">
        <v>0</v>
      </c>
      <c r="E20" s="796">
        <v>0</v>
      </c>
      <c r="F20" s="796">
        <v>0</v>
      </c>
      <c r="G20" s="796">
        <v>0</v>
      </c>
      <c r="H20" s="796">
        <v>0</v>
      </c>
      <c r="I20" s="973">
        <v>0</v>
      </c>
      <c r="J20" s="973"/>
      <c r="K20" s="973">
        <v>0</v>
      </c>
      <c r="L20" s="973"/>
      <c r="M20" s="974">
        <v>0</v>
      </c>
      <c r="N20" s="974"/>
    </row>
    <row r="21" spans="1:14" ht="14.25" customHeight="1">
      <c r="A21" s="798">
        <v>13</v>
      </c>
      <c r="B21" s="952" t="s">
        <v>971</v>
      </c>
      <c r="C21" s="952"/>
      <c r="D21" s="796">
        <v>0</v>
      </c>
      <c r="E21" s="796">
        <v>0</v>
      </c>
      <c r="F21" s="796">
        <v>0</v>
      </c>
      <c r="G21" s="796">
        <v>0</v>
      </c>
      <c r="H21" s="796">
        <v>0</v>
      </c>
      <c r="I21" s="973">
        <v>0</v>
      </c>
      <c r="J21" s="973"/>
      <c r="K21" s="973">
        <v>0</v>
      </c>
      <c r="L21" s="973"/>
      <c r="M21" s="974">
        <v>0</v>
      </c>
      <c r="N21" s="974"/>
    </row>
    <row r="22" spans="1:14" ht="14.25" customHeight="1">
      <c r="A22" s="455">
        <v>14</v>
      </c>
      <c r="B22" s="978" t="s">
        <v>87</v>
      </c>
      <c r="C22" s="978"/>
      <c r="D22" s="794">
        <v>0</v>
      </c>
      <c r="E22" s="794">
        <v>0</v>
      </c>
      <c r="F22" s="794">
        <v>0</v>
      </c>
      <c r="G22" s="794">
        <v>0</v>
      </c>
      <c r="H22" s="794">
        <v>0</v>
      </c>
      <c r="I22" s="979">
        <v>0</v>
      </c>
      <c r="J22" s="979"/>
      <c r="K22" s="979">
        <v>-1560225000</v>
      </c>
      <c r="L22" s="979"/>
      <c r="M22" s="980">
        <v>-1560225000</v>
      </c>
      <c r="N22" s="980"/>
    </row>
    <row r="23" spans="1:14" ht="14.25" customHeight="1">
      <c r="A23" s="798">
        <v>15</v>
      </c>
      <c r="B23" s="952" t="s">
        <v>972</v>
      </c>
      <c r="C23" s="952"/>
      <c r="D23" s="796">
        <v>0</v>
      </c>
      <c r="E23" s="796">
        <v>0</v>
      </c>
      <c r="F23" s="796">
        <v>0</v>
      </c>
      <c r="G23" s="796">
        <v>0</v>
      </c>
      <c r="H23" s="796">
        <v>0</v>
      </c>
      <c r="I23" s="973">
        <v>0</v>
      </c>
      <c r="J23" s="973"/>
      <c r="K23" s="973">
        <v>19606633296.799999</v>
      </c>
      <c r="L23" s="973"/>
      <c r="M23" s="974">
        <v>19606633296.799999</v>
      </c>
      <c r="N23" s="974"/>
    </row>
    <row r="24" spans="1:14" ht="14.25" customHeight="1">
      <c r="A24" s="798">
        <v>16</v>
      </c>
      <c r="B24" s="952" t="s">
        <v>88</v>
      </c>
      <c r="C24" s="952"/>
      <c r="D24" s="796">
        <v>0</v>
      </c>
      <c r="E24" s="796">
        <v>0</v>
      </c>
      <c r="F24" s="796">
        <v>0</v>
      </c>
      <c r="G24" s="796">
        <v>0</v>
      </c>
      <c r="H24" s="796">
        <v>0</v>
      </c>
      <c r="I24" s="973">
        <v>0</v>
      </c>
      <c r="J24" s="973"/>
      <c r="K24" s="973">
        <v>0</v>
      </c>
      <c r="L24" s="973"/>
      <c r="M24" s="974">
        <v>0</v>
      </c>
      <c r="N24" s="974"/>
    </row>
    <row r="25" spans="1:14" ht="15" customHeight="1">
      <c r="A25" s="798">
        <v>17</v>
      </c>
      <c r="B25" s="952" t="s">
        <v>1100</v>
      </c>
      <c r="C25" s="952"/>
      <c r="D25" s="796">
        <v>780112500</v>
      </c>
      <c r="E25" s="796">
        <v>0</v>
      </c>
      <c r="F25" s="796">
        <v>0</v>
      </c>
      <c r="G25" s="796">
        <v>14849519333.43</v>
      </c>
      <c r="H25" s="796">
        <v>0</v>
      </c>
      <c r="I25" s="973">
        <v>0</v>
      </c>
      <c r="J25" s="973"/>
      <c r="K25" s="973">
        <v>89094550877.679993</v>
      </c>
      <c r="L25" s="973"/>
      <c r="M25" s="974">
        <v>104724182711.11</v>
      </c>
      <c r="N25" s="974"/>
    </row>
    <row r="26" spans="1:14" ht="1.5" customHeight="1">
      <c r="A26" s="948"/>
      <c r="B26" s="948"/>
      <c r="C26" s="948"/>
      <c r="D26" s="948"/>
      <c r="E26" s="948"/>
      <c r="F26" s="948"/>
      <c r="G26" s="948"/>
      <c r="H26" s="948"/>
      <c r="I26" s="948"/>
      <c r="J26" s="948"/>
      <c r="K26" s="948"/>
      <c r="L26" s="948"/>
      <c r="M26" s="948"/>
      <c r="N26" s="948"/>
    </row>
    <row r="27" spans="1:14" ht="16.5" customHeight="1"/>
    <row r="28" spans="1:14" ht="23.25" customHeight="1">
      <c r="A28" s="975" t="s">
        <v>956</v>
      </c>
      <c r="B28" s="975"/>
      <c r="C28" s="975"/>
      <c r="D28" s="975"/>
      <c r="E28" s="976" t="s">
        <v>973</v>
      </c>
      <c r="F28" s="976"/>
      <c r="G28" s="977" t="s">
        <v>957</v>
      </c>
      <c r="H28" s="977"/>
      <c r="I28" s="977"/>
      <c r="J28" s="977"/>
      <c r="K28" s="977"/>
      <c r="L28" s="977"/>
      <c r="M28" s="977"/>
      <c r="N28" s="977"/>
    </row>
    <row r="29" spans="1:14" ht="24" customHeight="1">
      <c r="A29" s="975" t="s">
        <v>958</v>
      </c>
      <c r="B29" s="975"/>
      <c r="C29" s="975"/>
      <c r="D29" s="975"/>
      <c r="E29" s="976" t="s">
        <v>973</v>
      </c>
      <c r="F29" s="976"/>
      <c r="G29" s="977" t="s">
        <v>959</v>
      </c>
      <c r="H29" s="977"/>
      <c r="I29" s="977"/>
      <c r="J29" s="977"/>
      <c r="K29" s="977"/>
      <c r="L29" s="977"/>
      <c r="M29" s="977"/>
      <c r="N29" s="977"/>
    </row>
    <row r="30" spans="1:14" ht="30.75" customHeight="1"/>
    <row r="31" spans="1:14" ht="14.25" customHeight="1">
      <c r="A31" s="950" t="s">
        <v>960</v>
      </c>
      <c r="B31" s="950"/>
      <c r="C31" s="951">
        <v>43213.566840277803</v>
      </c>
      <c r="D31" s="951"/>
      <c r="E31" s="951"/>
      <c r="F31" s="951"/>
      <c r="G31" s="951"/>
      <c r="H31" s="951"/>
      <c r="I31" s="951"/>
      <c r="J31" s="950" t="s">
        <v>942</v>
      </c>
      <c r="K31" s="950"/>
      <c r="L31" s="950"/>
      <c r="M31" s="950"/>
      <c r="N31" s="328" t="s">
        <v>943</v>
      </c>
    </row>
    <row r="34" spans="1:14">
      <c r="A34" s="798">
        <v>17</v>
      </c>
      <c r="B34" s="952" t="s">
        <v>1100</v>
      </c>
      <c r="C34" s="952"/>
      <c r="D34" s="796">
        <v>780112500</v>
      </c>
      <c r="E34" s="796">
        <v>0</v>
      </c>
      <c r="F34" s="796">
        <v>0</v>
      </c>
      <c r="G34" s="796">
        <v>14849519333.43</v>
      </c>
      <c r="H34" s="796">
        <v>0</v>
      </c>
      <c r="I34" s="973">
        <v>0</v>
      </c>
      <c r="J34" s="973"/>
      <c r="K34" s="973">
        <v>88710766455.679993</v>
      </c>
      <c r="L34" s="973"/>
      <c r="M34" s="974">
        <v>104340398289.11</v>
      </c>
      <c r="N34" s="974"/>
    </row>
    <row r="37" spans="1:14">
      <c r="D37" s="799">
        <f>+C34-C25</f>
        <v>0</v>
      </c>
      <c r="G37" s="799">
        <f>+F34-F25</f>
        <v>0</v>
      </c>
      <c r="L37" s="799">
        <f>+K34-K25</f>
        <v>-383784422</v>
      </c>
      <c r="N37" s="799">
        <f>+M34-M25</f>
        <v>-383784422</v>
      </c>
    </row>
  </sheetData>
  <mergeCells count="91">
    <mergeCell ref="B8:C8"/>
    <mergeCell ref="I8:J8"/>
    <mergeCell ref="K8:L8"/>
    <mergeCell ref="M8:N8"/>
    <mergeCell ref="A2:N2"/>
    <mergeCell ref="A4:N4"/>
    <mergeCell ref="A6:C6"/>
    <mergeCell ref="D6:K6"/>
    <mergeCell ref="L6:N6"/>
    <mergeCell ref="B9:C9"/>
    <mergeCell ref="I9:J9"/>
    <mergeCell ref="K9:L9"/>
    <mergeCell ref="M9:N9"/>
    <mergeCell ref="B10:C10"/>
    <mergeCell ref="I10:J10"/>
    <mergeCell ref="K10:L10"/>
    <mergeCell ref="M10:N10"/>
    <mergeCell ref="B11:C11"/>
    <mergeCell ref="I11:J11"/>
    <mergeCell ref="K11:L11"/>
    <mergeCell ref="M11:N11"/>
    <mergeCell ref="B12:C12"/>
    <mergeCell ref="I12:J12"/>
    <mergeCell ref="K12:L12"/>
    <mergeCell ref="M12:N12"/>
    <mergeCell ref="B13:C13"/>
    <mergeCell ref="I13:J13"/>
    <mergeCell ref="K13:L13"/>
    <mergeCell ref="M13:N13"/>
    <mergeCell ref="B14:C14"/>
    <mergeCell ref="I14:J14"/>
    <mergeCell ref="K14:L14"/>
    <mergeCell ref="M14:N14"/>
    <mergeCell ref="B15:C15"/>
    <mergeCell ref="I15:J15"/>
    <mergeCell ref="K15:L15"/>
    <mergeCell ref="M15:N15"/>
    <mergeCell ref="B16:C16"/>
    <mergeCell ref="I16:J16"/>
    <mergeCell ref="K16:L16"/>
    <mergeCell ref="M16:N16"/>
    <mergeCell ref="B17:C17"/>
    <mergeCell ref="I17:J17"/>
    <mergeCell ref="K17:L17"/>
    <mergeCell ref="M17:N17"/>
    <mergeCell ref="B18:C18"/>
    <mergeCell ref="I18:J18"/>
    <mergeCell ref="K18:L18"/>
    <mergeCell ref="M18:N18"/>
    <mergeCell ref="B19:C19"/>
    <mergeCell ref="I19:J19"/>
    <mergeCell ref="K19:L19"/>
    <mergeCell ref="M19:N19"/>
    <mergeCell ref="B20:C20"/>
    <mergeCell ref="I20:J20"/>
    <mergeCell ref="K20:L20"/>
    <mergeCell ref="M20:N20"/>
    <mergeCell ref="B21:C21"/>
    <mergeCell ref="I21:J21"/>
    <mergeCell ref="K21:L21"/>
    <mergeCell ref="M21:N21"/>
    <mergeCell ref="B22:C22"/>
    <mergeCell ref="I22:J22"/>
    <mergeCell ref="K22:L22"/>
    <mergeCell ref="M22:N22"/>
    <mergeCell ref="A28:D28"/>
    <mergeCell ref="E28:F28"/>
    <mergeCell ref="G28:N28"/>
    <mergeCell ref="B23:C23"/>
    <mergeCell ref="I23:J23"/>
    <mergeCell ref="K23:L23"/>
    <mergeCell ref="M23:N23"/>
    <mergeCell ref="B24:C24"/>
    <mergeCell ref="I24:J24"/>
    <mergeCell ref="K24:L24"/>
    <mergeCell ref="M24:N24"/>
    <mergeCell ref="B25:C25"/>
    <mergeCell ref="I25:J25"/>
    <mergeCell ref="K25:L25"/>
    <mergeCell ref="M25:N25"/>
    <mergeCell ref="A26:N26"/>
    <mergeCell ref="B34:C34"/>
    <mergeCell ref="I34:J34"/>
    <mergeCell ref="K34:L34"/>
    <mergeCell ref="M34:N34"/>
    <mergeCell ref="A29:D29"/>
    <mergeCell ref="E29:F29"/>
    <mergeCell ref="G29:N29"/>
    <mergeCell ref="A31:B31"/>
    <mergeCell ref="C31:I31"/>
    <mergeCell ref="J31:M3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2060"/>
  </sheetPr>
  <dimension ref="A1:K63"/>
  <sheetViews>
    <sheetView topLeftCell="A25" zoomScale="80" zoomScaleNormal="80" workbookViewId="0">
      <selection activeCell="E64" sqref="E64"/>
    </sheetView>
  </sheetViews>
  <sheetFormatPr defaultColWidth="9.109375" defaultRowHeight="13.2"/>
  <cols>
    <col min="1" max="1" width="4.88671875" style="250" customWidth="1"/>
    <col min="2" max="2" width="40.88671875" style="250" customWidth="1"/>
    <col min="3" max="3" width="20.44140625" style="295" customWidth="1"/>
    <col min="4" max="6" width="19.109375" style="295" customWidth="1"/>
    <col min="7" max="7" width="16.33203125" style="295" customWidth="1"/>
    <col min="8" max="8" width="19.109375" style="295" customWidth="1"/>
    <col min="9" max="9" width="23" style="250" customWidth="1"/>
    <col min="10" max="10" width="8.44140625" style="250" customWidth="1"/>
    <col min="11" max="11" width="30.109375" style="250" customWidth="1"/>
    <col min="12" max="12" width="10" style="250" customWidth="1"/>
    <col min="13" max="13" width="8.5546875" style="250" customWidth="1"/>
    <col min="14" max="14" width="9.5546875" style="250" customWidth="1"/>
    <col min="15" max="15" width="10" style="250" customWidth="1"/>
    <col min="16" max="20" width="12.109375" style="250" customWidth="1"/>
    <col min="21" max="16384" width="9.109375" style="250"/>
  </cols>
  <sheetData>
    <row r="1" spans="1:11">
      <c r="A1" s="965" t="s">
        <v>1008</v>
      </c>
      <c r="B1" s="965"/>
      <c r="C1" s="965"/>
      <c r="D1" s="965"/>
      <c r="E1" s="288"/>
      <c r="F1" s="288"/>
      <c r="G1" s="288"/>
      <c r="H1" s="288"/>
    </row>
    <row r="2" spans="1:11">
      <c r="A2" s="289"/>
    </row>
    <row r="3" spans="1:11">
      <c r="A3" s="299" t="str">
        <f>+nuur1!A3</f>
        <v>"ГОВЬ" ХК-ийн</v>
      </c>
      <c r="D3" s="312" t="str">
        <f>+nuur1!A7</f>
        <v>2022  оны  12  сарын 31 өдөр</v>
      </c>
      <c r="E3" s="312"/>
      <c r="F3" s="312"/>
      <c r="G3" s="312"/>
      <c r="H3" s="312"/>
    </row>
    <row r="4" spans="1:11">
      <c r="A4" s="289" t="s">
        <v>0</v>
      </c>
      <c r="D4" s="296" t="s">
        <v>1</v>
      </c>
      <c r="E4" s="296"/>
      <c r="F4" s="296"/>
      <c r="G4" s="296"/>
      <c r="H4" s="296"/>
    </row>
    <row r="5" spans="1:11" ht="30" customHeight="1">
      <c r="A5" s="300" t="s">
        <v>4</v>
      </c>
      <c r="B5" s="290" t="s">
        <v>80</v>
      </c>
      <c r="C5" s="313" t="s">
        <v>1013</v>
      </c>
      <c r="D5" s="313" t="s">
        <v>173</v>
      </c>
      <c r="E5" s="800" t="s">
        <v>1408</v>
      </c>
      <c r="F5" s="800"/>
      <c r="G5" s="800"/>
      <c r="H5" s="800"/>
      <c r="I5" s="301"/>
    </row>
    <row r="6" spans="1:11" s="307" customFormat="1" ht="13.5" customHeight="1">
      <c r="A6" s="292">
        <v>1</v>
      </c>
      <c r="B6" s="309" t="s">
        <v>1010</v>
      </c>
      <c r="C6" s="321"/>
      <c r="D6" s="314"/>
      <c r="E6" s="801"/>
      <c r="F6" s="801"/>
      <c r="G6" s="801"/>
      <c r="H6" s="801"/>
      <c r="I6" s="315"/>
    </row>
    <row r="7" spans="1:11" s="307" customFormat="1" ht="13.5" customHeight="1">
      <c r="A7" s="292">
        <v>1.1000000000000001</v>
      </c>
      <c r="B7" s="309" t="s">
        <v>89</v>
      </c>
      <c r="C7" s="316">
        <v>180148715767.0679</v>
      </c>
      <c r="D7" s="316">
        <f>+SUM(D8:D13)</f>
        <v>211370033941.61093</v>
      </c>
      <c r="E7" s="802"/>
      <c r="F7" s="802"/>
      <c r="G7" s="805">
        <f>+D7/1000</f>
        <v>211370033.94161093</v>
      </c>
      <c r="H7" s="802"/>
      <c r="I7" s="303">
        <f>D7/1000</f>
        <v>211370033.94161093</v>
      </c>
      <c r="K7" s="293">
        <f>+D7/1000</f>
        <v>211370033.94161093</v>
      </c>
    </row>
    <row r="8" spans="1:11" ht="13.5" customHeight="1">
      <c r="A8" s="291"/>
      <c r="B8" s="308" t="s">
        <v>90</v>
      </c>
      <c r="C8" s="322">
        <v>179929158516.0079</v>
      </c>
      <c r="D8" s="297">
        <f>+'cash flow'!D8</f>
        <v>210328059109.47467</v>
      </c>
      <c r="E8" s="803"/>
      <c r="F8" s="803"/>
      <c r="G8" s="805">
        <f t="shared" ref="G8:G58" si="0">+D8/1000</f>
        <v>210328059.10947466</v>
      </c>
      <c r="H8" s="803"/>
      <c r="I8" s="303">
        <f>D8/1000</f>
        <v>210328059.10947466</v>
      </c>
      <c r="K8" s="293">
        <f t="shared" ref="K8:K58" si="1">+D8/1000</f>
        <v>210328059.10947466</v>
      </c>
    </row>
    <row r="9" spans="1:11" ht="13.5" customHeight="1">
      <c r="A9" s="291"/>
      <c r="B9" s="308" t="s">
        <v>91</v>
      </c>
      <c r="C9" s="322">
        <v>0</v>
      </c>
      <c r="D9" s="297">
        <f>+'cash flow'!D9</f>
        <v>0</v>
      </c>
      <c r="E9" s="803"/>
      <c r="F9" s="803"/>
      <c r="G9" s="805">
        <f t="shared" si="0"/>
        <v>0</v>
      </c>
      <c r="H9" s="803"/>
      <c r="I9" s="303">
        <f t="shared" ref="I9:I12" si="2">-D9/1000</f>
        <v>0</v>
      </c>
      <c r="K9" s="293">
        <f t="shared" si="1"/>
        <v>0</v>
      </c>
    </row>
    <row r="10" spans="1:11" ht="13.5" customHeight="1">
      <c r="A10" s="291"/>
      <c r="B10" s="308" t="s">
        <v>117</v>
      </c>
      <c r="C10" s="322">
        <v>0</v>
      </c>
      <c r="D10" s="297">
        <f>+'cash flow'!D10</f>
        <v>0</v>
      </c>
      <c r="E10" s="803"/>
      <c r="F10" s="803"/>
      <c r="G10" s="805">
        <f t="shared" si="0"/>
        <v>0</v>
      </c>
      <c r="H10" s="803"/>
      <c r="I10" s="303">
        <f>D10/1000</f>
        <v>0</v>
      </c>
      <c r="K10" s="293">
        <f t="shared" si="1"/>
        <v>0</v>
      </c>
    </row>
    <row r="11" spans="1:11" ht="13.5" customHeight="1">
      <c r="A11" s="291"/>
      <c r="B11" s="308" t="s">
        <v>92</v>
      </c>
      <c r="C11" s="322">
        <v>0</v>
      </c>
      <c r="D11" s="297">
        <f>+'cash flow'!D11</f>
        <v>0</v>
      </c>
      <c r="E11" s="803"/>
      <c r="F11" s="803"/>
      <c r="G11" s="805">
        <f t="shared" si="0"/>
        <v>0</v>
      </c>
      <c r="H11" s="803"/>
      <c r="I11" s="303">
        <f t="shared" si="2"/>
        <v>0</v>
      </c>
      <c r="K11" s="293">
        <f t="shared" si="1"/>
        <v>0</v>
      </c>
    </row>
    <row r="12" spans="1:11" ht="13.5" customHeight="1">
      <c r="A12" s="291"/>
      <c r="B12" s="308" t="s">
        <v>93</v>
      </c>
      <c r="C12" s="322">
        <v>0</v>
      </c>
      <c r="D12" s="297">
        <f>+'cash flow'!D12</f>
        <v>0</v>
      </c>
      <c r="E12" s="803"/>
      <c r="F12" s="803"/>
      <c r="G12" s="805">
        <f t="shared" si="0"/>
        <v>0</v>
      </c>
      <c r="H12" s="803"/>
      <c r="I12" s="303">
        <f t="shared" si="2"/>
        <v>0</v>
      </c>
      <c r="K12" s="293">
        <f t="shared" si="1"/>
        <v>0</v>
      </c>
    </row>
    <row r="13" spans="1:11" ht="13.5" customHeight="1">
      <c r="A13" s="291"/>
      <c r="B13" s="308" t="s">
        <v>94</v>
      </c>
      <c r="C13" s="322">
        <v>219557251.06</v>
      </c>
      <c r="D13" s="297">
        <f>+'cash flow'!D13</f>
        <v>1041974832.1362573</v>
      </c>
      <c r="E13" s="803"/>
      <c r="F13" s="803"/>
      <c r="G13" s="805">
        <f t="shared" si="0"/>
        <v>1041974.8321362573</v>
      </c>
      <c r="H13" s="803"/>
      <c r="I13" s="303">
        <f>D13/1000</f>
        <v>1041974.8321362573</v>
      </c>
      <c r="K13" s="293">
        <f t="shared" si="1"/>
        <v>1041974.8321362573</v>
      </c>
    </row>
    <row r="14" spans="1:11" s="307" customFormat="1" ht="13.5" customHeight="1">
      <c r="A14" s="292">
        <v>1.2</v>
      </c>
      <c r="B14" s="309" t="s">
        <v>95</v>
      </c>
      <c r="C14" s="298">
        <v>-193708082316.35989</v>
      </c>
      <c r="D14" s="298">
        <f>+SUM(D15:D23)</f>
        <v>-177369082462.13397</v>
      </c>
      <c r="E14" s="804"/>
      <c r="F14" s="804"/>
      <c r="G14" s="805">
        <f t="shared" si="0"/>
        <v>-177369082.46213397</v>
      </c>
      <c r="H14" s="804"/>
      <c r="I14" s="306"/>
      <c r="K14" s="293">
        <f t="shared" si="1"/>
        <v>-177369082.46213397</v>
      </c>
    </row>
    <row r="15" spans="1:11" ht="13.5" customHeight="1">
      <c r="A15" s="291"/>
      <c r="B15" s="308" t="s">
        <v>96</v>
      </c>
      <c r="C15" s="322">
        <v>-24381491461.590004</v>
      </c>
      <c r="D15" s="297">
        <f>+'cash flow'!D15</f>
        <v>-27947882073.551289</v>
      </c>
      <c r="E15" s="803"/>
      <c r="F15" s="803"/>
      <c r="G15" s="805">
        <f t="shared" si="0"/>
        <v>-27947882.07355129</v>
      </c>
      <c r="H15" s="803"/>
      <c r="I15" s="303">
        <f>-D15/1000</f>
        <v>27947882.07355129</v>
      </c>
      <c r="K15" s="293">
        <f>-D15/1000</f>
        <v>27947882.07355129</v>
      </c>
    </row>
    <row r="16" spans="1:11" ht="13.5" customHeight="1">
      <c r="A16" s="291"/>
      <c r="B16" s="308" t="s">
        <v>97</v>
      </c>
      <c r="C16" s="322">
        <v>-7041942914.3099995</v>
      </c>
      <c r="D16" s="297">
        <f>+'cash flow'!D16</f>
        <v>-8797934636.2651005</v>
      </c>
      <c r="E16" s="803"/>
      <c r="F16" s="803"/>
      <c r="G16" s="805">
        <f t="shared" si="0"/>
        <v>-8797934.6362651009</v>
      </c>
      <c r="H16" s="803"/>
      <c r="I16" s="303">
        <f t="shared" ref="I16:I26" si="3">-D16/1000</f>
        <v>8797934.6362651009</v>
      </c>
      <c r="K16" s="293">
        <f t="shared" ref="K16:K23" si="4">-D16/1000</f>
        <v>8797934.6362651009</v>
      </c>
    </row>
    <row r="17" spans="1:11" ht="13.5" customHeight="1">
      <c r="A17" s="291"/>
      <c r="B17" s="308" t="s">
        <v>118</v>
      </c>
      <c r="C17" s="322">
        <v>-105121862579.25999</v>
      </c>
      <c r="D17" s="297">
        <f>+'cash flow'!D17</f>
        <v>-43403043382.544693</v>
      </c>
      <c r="E17" s="803"/>
      <c r="F17" s="803"/>
      <c r="G17" s="805">
        <f t="shared" si="0"/>
        <v>-43403043.382544696</v>
      </c>
      <c r="H17" s="803"/>
      <c r="I17" s="303">
        <f t="shared" si="3"/>
        <v>43403043.382544696</v>
      </c>
      <c r="K17" s="293">
        <f t="shared" si="4"/>
        <v>43403043.382544696</v>
      </c>
    </row>
    <row r="18" spans="1:11" ht="13.5" customHeight="1">
      <c r="A18" s="291"/>
      <c r="B18" s="308" t="s">
        <v>119</v>
      </c>
      <c r="C18" s="322">
        <v>-3274959903.9500003</v>
      </c>
      <c r="D18" s="297">
        <f>+'cash flow'!D18</f>
        <v>-3050887987.7055001</v>
      </c>
      <c r="E18" s="803"/>
      <c r="F18" s="803"/>
      <c r="G18" s="805">
        <f t="shared" si="0"/>
        <v>-3050887.9877055003</v>
      </c>
      <c r="H18" s="803"/>
      <c r="I18" s="303">
        <f t="shared" si="3"/>
        <v>3050887.9877055003</v>
      </c>
      <c r="K18" s="293">
        <f t="shared" si="4"/>
        <v>3050887.9877055003</v>
      </c>
    </row>
    <row r="19" spans="1:11" ht="13.5" customHeight="1">
      <c r="A19" s="291"/>
      <c r="B19" s="308" t="s">
        <v>98</v>
      </c>
      <c r="C19" s="322">
        <v>-2717320121.9700003</v>
      </c>
      <c r="D19" s="297">
        <f>+'cash flow'!D19</f>
        <v>-7364073991.698288</v>
      </c>
      <c r="E19" s="803"/>
      <c r="F19" s="803"/>
      <c r="G19" s="805">
        <f t="shared" si="0"/>
        <v>-7364073.9916982884</v>
      </c>
      <c r="H19" s="803"/>
      <c r="I19" s="303">
        <f t="shared" si="3"/>
        <v>7364073.9916982884</v>
      </c>
      <c r="K19" s="293">
        <f t="shared" si="4"/>
        <v>7364073.9916982884</v>
      </c>
    </row>
    <row r="20" spans="1:11" ht="13.5" customHeight="1">
      <c r="A20" s="291"/>
      <c r="B20" s="308" t="s">
        <v>120</v>
      </c>
      <c r="C20" s="322">
        <v>-9619369054.5784073</v>
      </c>
      <c r="D20" s="297">
        <f>+'cash flow'!D20</f>
        <v>-26380871890.709396</v>
      </c>
      <c r="E20" s="803"/>
      <c r="F20" s="803"/>
      <c r="G20" s="805">
        <f t="shared" si="0"/>
        <v>-26380871.890709396</v>
      </c>
      <c r="H20" s="803"/>
      <c r="I20" s="303">
        <f t="shared" si="3"/>
        <v>26380871.890709396</v>
      </c>
      <c r="K20" s="293">
        <f t="shared" si="4"/>
        <v>26380871.890709396</v>
      </c>
    </row>
    <row r="21" spans="1:11" ht="13.5" customHeight="1">
      <c r="A21" s="291"/>
      <c r="B21" s="308" t="s">
        <v>99</v>
      </c>
      <c r="C21" s="322">
        <v>-7450581331.2200003</v>
      </c>
      <c r="D21" s="297">
        <f>+'cash flow'!D21</f>
        <v>-15217209229.80406</v>
      </c>
      <c r="E21" s="803"/>
      <c r="F21" s="803"/>
      <c r="G21" s="805">
        <f t="shared" si="0"/>
        <v>-15217209.229804059</v>
      </c>
      <c r="H21" s="803"/>
      <c r="I21" s="303">
        <f t="shared" si="3"/>
        <v>15217209.229804059</v>
      </c>
      <c r="K21" s="293">
        <f t="shared" si="4"/>
        <v>15217209.229804059</v>
      </c>
    </row>
    <row r="22" spans="1:11" ht="13.5" customHeight="1">
      <c r="A22" s="291"/>
      <c r="B22" s="308" t="s">
        <v>121</v>
      </c>
      <c r="C22" s="322">
        <v>-294767660.76999998</v>
      </c>
      <c r="D22" s="297">
        <f>+'cash flow'!D22</f>
        <v>-517737793.98889995</v>
      </c>
      <c r="E22" s="803"/>
      <c r="F22" s="803"/>
      <c r="G22" s="805">
        <f t="shared" si="0"/>
        <v>-517737.79398889997</v>
      </c>
      <c r="H22" s="803"/>
      <c r="I22" s="303">
        <f t="shared" si="3"/>
        <v>517737.79398889997</v>
      </c>
      <c r="K22" s="293">
        <f t="shared" si="4"/>
        <v>517737.79398889997</v>
      </c>
    </row>
    <row r="23" spans="1:11" ht="13.5" customHeight="1">
      <c r="A23" s="291"/>
      <c r="B23" s="308" t="s">
        <v>100</v>
      </c>
      <c r="C23" s="322">
        <v>-33805787288.711498</v>
      </c>
      <c r="D23" s="297">
        <f>+'cash flow'!D23</f>
        <v>-44689441475.866745</v>
      </c>
      <c r="E23" s="803"/>
      <c r="F23" s="803"/>
      <c r="G23" s="805">
        <f t="shared" si="0"/>
        <v>-44689441.475866742</v>
      </c>
      <c r="H23" s="803"/>
      <c r="I23" s="303">
        <f t="shared" si="3"/>
        <v>44689441.475866742</v>
      </c>
      <c r="K23" s="293">
        <f t="shared" si="4"/>
        <v>44689441.475866742</v>
      </c>
    </row>
    <row r="24" spans="1:11" s="307" customFormat="1" ht="13.5" customHeight="1">
      <c r="A24" s="292">
        <v>1.3</v>
      </c>
      <c r="B24" s="309" t="s">
        <v>122</v>
      </c>
      <c r="C24" s="298">
        <v>-13559366549.291992</v>
      </c>
      <c r="D24" s="298">
        <f>+D7+D14</f>
        <v>34000951479.476959</v>
      </c>
      <c r="E24" s="804"/>
      <c r="F24" s="804"/>
      <c r="G24" s="805">
        <f t="shared" si="0"/>
        <v>34000951.479476959</v>
      </c>
      <c r="H24" s="804"/>
      <c r="I24" s="303">
        <f t="shared" si="3"/>
        <v>-34000951.479476959</v>
      </c>
      <c r="K24" s="293">
        <f t="shared" si="1"/>
        <v>34000951.479476959</v>
      </c>
    </row>
    <row r="25" spans="1:11" s="307" customFormat="1" ht="13.5" customHeight="1">
      <c r="A25" s="292">
        <v>2</v>
      </c>
      <c r="B25" s="309" t="s">
        <v>1011</v>
      </c>
      <c r="C25" s="321"/>
      <c r="D25" s="314"/>
      <c r="E25" s="801"/>
      <c r="F25" s="801"/>
      <c r="G25" s="805">
        <f t="shared" si="0"/>
        <v>0</v>
      </c>
      <c r="H25" s="801"/>
      <c r="I25" s="303">
        <f t="shared" si="3"/>
        <v>0</v>
      </c>
      <c r="K25" s="293">
        <f t="shared" si="1"/>
        <v>0</v>
      </c>
    </row>
    <row r="26" spans="1:11" s="307" customFormat="1" ht="13.5" customHeight="1">
      <c r="A26" s="292">
        <v>2.1</v>
      </c>
      <c r="B26" s="309" t="s">
        <v>89</v>
      </c>
      <c r="C26" s="298">
        <v>346141215.87199998</v>
      </c>
      <c r="D26" s="298">
        <f>+SUM(D27:D34)</f>
        <v>308338436.57260001</v>
      </c>
      <c r="E26" s="804"/>
      <c r="F26" s="804"/>
      <c r="G26" s="805">
        <f t="shared" si="0"/>
        <v>308338.43657259998</v>
      </c>
      <c r="H26" s="804"/>
      <c r="I26" s="303">
        <f t="shared" si="3"/>
        <v>-308338.43657259998</v>
      </c>
      <c r="K26" s="293">
        <f t="shared" si="1"/>
        <v>308338.43657259998</v>
      </c>
    </row>
    <row r="27" spans="1:11" ht="13.5" customHeight="1">
      <c r="A27" s="291"/>
      <c r="B27" s="310" t="s">
        <v>101</v>
      </c>
      <c r="C27" s="323">
        <v>114125315.002</v>
      </c>
      <c r="D27" s="297">
        <f>+'cash flow'!D27</f>
        <v>150817521</v>
      </c>
      <c r="E27" s="803"/>
      <c r="F27" s="803"/>
      <c r="G27" s="805">
        <f t="shared" si="0"/>
        <v>150817.52100000001</v>
      </c>
      <c r="H27" s="803"/>
      <c r="I27" s="303">
        <f t="shared" ref="I27:I54" si="5">D27/1000</f>
        <v>150817.52100000001</v>
      </c>
      <c r="K27" s="293">
        <f t="shared" si="1"/>
        <v>150817.52100000001</v>
      </c>
    </row>
    <row r="28" spans="1:11" ht="13.5" customHeight="1">
      <c r="A28" s="291"/>
      <c r="B28" s="310" t="s">
        <v>102</v>
      </c>
      <c r="C28" s="323">
        <v>0</v>
      </c>
      <c r="D28" s="297">
        <f>+'cash flow'!D28</f>
        <v>0</v>
      </c>
      <c r="E28" s="803"/>
      <c r="F28" s="803"/>
      <c r="G28" s="805">
        <f t="shared" si="0"/>
        <v>0</v>
      </c>
      <c r="H28" s="803"/>
      <c r="I28" s="303">
        <f t="shared" si="5"/>
        <v>0</v>
      </c>
      <c r="K28" s="293">
        <f t="shared" si="1"/>
        <v>0</v>
      </c>
    </row>
    <row r="29" spans="1:11" ht="13.5" customHeight="1">
      <c r="A29" s="291"/>
      <c r="B29" s="310" t="s">
        <v>103</v>
      </c>
      <c r="C29" s="323">
        <v>0</v>
      </c>
      <c r="D29" s="297">
        <f>+'cash flow'!D29</f>
        <v>0</v>
      </c>
      <c r="E29" s="803"/>
      <c r="F29" s="803"/>
      <c r="G29" s="805">
        <f t="shared" si="0"/>
        <v>0</v>
      </c>
      <c r="H29" s="803"/>
      <c r="I29" s="303">
        <f t="shared" si="5"/>
        <v>0</v>
      </c>
      <c r="K29" s="293">
        <f t="shared" si="1"/>
        <v>0</v>
      </c>
    </row>
    <row r="30" spans="1:11" ht="13.5" customHeight="1">
      <c r="A30" s="291"/>
      <c r="B30" s="308" t="s">
        <v>104</v>
      </c>
      <c r="C30" s="323">
        <v>0</v>
      </c>
      <c r="D30" s="297">
        <f>+'cash flow'!D30</f>
        <v>0</v>
      </c>
      <c r="E30" s="803"/>
      <c r="F30" s="803"/>
      <c r="G30" s="805">
        <f t="shared" si="0"/>
        <v>0</v>
      </c>
      <c r="H30" s="803"/>
      <c r="I30" s="303">
        <f t="shared" si="5"/>
        <v>0</v>
      </c>
      <c r="K30" s="293">
        <f t="shared" si="1"/>
        <v>0</v>
      </c>
    </row>
    <row r="31" spans="1:11" ht="13.5" customHeight="1">
      <c r="A31" s="291"/>
      <c r="B31" s="308" t="s">
        <v>105</v>
      </c>
      <c r="C31" s="323">
        <v>0</v>
      </c>
      <c r="D31" s="297">
        <f>+'cash flow'!D31</f>
        <v>0</v>
      </c>
      <c r="E31" s="803"/>
      <c r="F31" s="803"/>
      <c r="G31" s="805">
        <f t="shared" si="0"/>
        <v>0</v>
      </c>
      <c r="H31" s="803"/>
      <c r="I31" s="303">
        <f t="shared" si="5"/>
        <v>0</v>
      </c>
      <c r="K31" s="293">
        <f t="shared" si="1"/>
        <v>0</v>
      </c>
    </row>
    <row r="32" spans="1:11" ht="13.5" customHeight="1">
      <c r="A32" s="291"/>
      <c r="B32" s="308" t="s">
        <v>106</v>
      </c>
      <c r="C32" s="323">
        <v>232015900.86999997</v>
      </c>
      <c r="D32" s="297">
        <f>+'cash flow'!D32</f>
        <v>148188660.85259998</v>
      </c>
      <c r="E32" s="803"/>
      <c r="F32" s="803"/>
      <c r="G32" s="805">
        <f t="shared" si="0"/>
        <v>148188.66085259998</v>
      </c>
      <c r="H32" s="803"/>
      <c r="I32" s="303">
        <f t="shared" si="5"/>
        <v>148188.66085259998</v>
      </c>
      <c r="K32" s="293">
        <f t="shared" si="1"/>
        <v>148188.66085259998</v>
      </c>
    </row>
    <row r="33" spans="1:11" ht="13.5" customHeight="1">
      <c r="A33" s="291"/>
      <c r="B33" s="308" t="s">
        <v>107</v>
      </c>
      <c r="C33" s="323">
        <v>0</v>
      </c>
      <c r="D33" s="297">
        <f>+'cash flow'!D33</f>
        <v>0</v>
      </c>
      <c r="E33" s="803"/>
      <c r="F33" s="803"/>
      <c r="G33" s="805">
        <f t="shared" si="0"/>
        <v>0</v>
      </c>
      <c r="H33" s="803"/>
      <c r="I33" s="303">
        <f t="shared" si="5"/>
        <v>0</v>
      </c>
      <c r="K33" s="293">
        <f t="shared" si="1"/>
        <v>0</v>
      </c>
    </row>
    <row r="34" spans="1:11" ht="13.5" customHeight="1">
      <c r="A34" s="291"/>
      <c r="B34" s="305" t="s">
        <v>1409</v>
      </c>
      <c r="C34" s="319"/>
      <c r="D34" s="297">
        <f>+'cash flow'!D34+E34</f>
        <v>9332254.7200000007</v>
      </c>
      <c r="E34" s="803">
        <v>9332254.7200000007</v>
      </c>
      <c r="F34" s="803"/>
      <c r="G34" s="805">
        <f t="shared" si="0"/>
        <v>9332.2547200000008</v>
      </c>
      <c r="H34" s="803"/>
      <c r="I34" s="303">
        <f t="shared" si="5"/>
        <v>9332.2547200000008</v>
      </c>
      <c r="K34" s="293">
        <f t="shared" si="1"/>
        <v>9332.2547200000008</v>
      </c>
    </row>
    <row r="35" spans="1:11" s="307" customFormat="1" ht="13.5" customHeight="1">
      <c r="A35" s="292">
        <v>2.2000000000000002</v>
      </c>
      <c r="B35" s="309" t="s">
        <v>95</v>
      </c>
      <c r="C35" s="298">
        <v>-26064067759.27</v>
      </c>
      <c r="D35" s="298">
        <f>+SUM(D36:D41)</f>
        <v>-3320735747.2199001</v>
      </c>
      <c r="E35" s="804"/>
      <c r="F35" s="804"/>
      <c r="G35" s="805">
        <f t="shared" si="0"/>
        <v>-3320735.7472199001</v>
      </c>
      <c r="H35" s="804"/>
      <c r="I35" s="303">
        <f t="shared" si="5"/>
        <v>-3320735.7472199001</v>
      </c>
      <c r="K35" s="293">
        <f t="shared" si="1"/>
        <v>-3320735.7472199001</v>
      </c>
    </row>
    <row r="36" spans="1:11" ht="13.5" customHeight="1">
      <c r="A36" s="291"/>
      <c r="B36" s="308" t="s">
        <v>108</v>
      </c>
      <c r="C36" s="322">
        <v>-25564067759.27</v>
      </c>
      <c r="D36" s="297">
        <f>+'cash flow'!D36</f>
        <v>-3320735747.2199001</v>
      </c>
      <c r="E36" s="803"/>
      <c r="F36" s="803"/>
      <c r="G36" s="805">
        <f t="shared" si="0"/>
        <v>-3320735.7472199001</v>
      </c>
      <c r="H36" s="803"/>
      <c r="I36" s="303">
        <f t="shared" si="5"/>
        <v>-3320735.7472199001</v>
      </c>
      <c r="K36" s="293">
        <f t="shared" ref="K36" si="6">-D36/1000</f>
        <v>3320735.7472199001</v>
      </c>
    </row>
    <row r="37" spans="1:11" ht="13.5" customHeight="1">
      <c r="A37" s="291"/>
      <c r="B37" s="308" t="s">
        <v>109</v>
      </c>
      <c r="C37" s="322">
        <v>0</v>
      </c>
      <c r="D37" s="297">
        <f>+'cash flow'!D37</f>
        <v>0</v>
      </c>
      <c r="E37" s="803"/>
      <c r="F37" s="803"/>
      <c r="G37" s="805">
        <f t="shared" si="0"/>
        <v>0</v>
      </c>
      <c r="H37" s="803"/>
      <c r="I37" s="303">
        <f t="shared" si="5"/>
        <v>0</v>
      </c>
      <c r="K37" s="293">
        <f t="shared" si="1"/>
        <v>0</v>
      </c>
    </row>
    <row r="38" spans="1:11" ht="13.5" customHeight="1">
      <c r="A38" s="291"/>
      <c r="B38" s="308" t="s">
        <v>123</v>
      </c>
      <c r="C38" s="322">
        <v>0</v>
      </c>
      <c r="D38" s="297">
        <f>+'cash flow'!D38</f>
        <v>0</v>
      </c>
      <c r="E38" s="803"/>
      <c r="F38" s="803"/>
      <c r="G38" s="805">
        <f t="shared" si="0"/>
        <v>0</v>
      </c>
      <c r="H38" s="803"/>
      <c r="I38" s="303">
        <f t="shared" si="5"/>
        <v>0</v>
      </c>
      <c r="K38" s="293">
        <f t="shared" si="1"/>
        <v>0</v>
      </c>
    </row>
    <row r="39" spans="1:11" ht="13.5" customHeight="1">
      <c r="A39" s="291"/>
      <c r="B39" s="308" t="s">
        <v>110</v>
      </c>
      <c r="C39" s="322">
        <v>-500000000</v>
      </c>
      <c r="D39" s="297">
        <f>+'cash flow'!D39</f>
        <v>0</v>
      </c>
      <c r="E39" s="803"/>
      <c r="F39" s="803"/>
      <c r="G39" s="805">
        <f t="shared" si="0"/>
        <v>0</v>
      </c>
      <c r="H39" s="803"/>
      <c r="I39" s="303">
        <f t="shared" si="5"/>
        <v>0</v>
      </c>
      <c r="K39" s="293">
        <f t="shared" si="1"/>
        <v>0</v>
      </c>
    </row>
    <row r="40" spans="1:11" ht="13.5" customHeight="1">
      <c r="A40" s="291"/>
      <c r="B40" s="308" t="s">
        <v>111</v>
      </c>
      <c r="C40" s="322"/>
      <c r="D40" s="297">
        <f>+'cash flow'!D40</f>
        <v>0</v>
      </c>
      <c r="E40" s="803"/>
      <c r="F40" s="803"/>
      <c r="G40" s="805">
        <f t="shared" si="0"/>
        <v>0</v>
      </c>
      <c r="H40" s="803"/>
      <c r="I40" s="303">
        <f t="shared" si="5"/>
        <v>0</v>
      </c>
      <c r="K40" s="293">
        <f t="shared" si="1"/>
        <v>0</v>
      </c>
    </row>
    <row r="41" spans="1:11" ht="13.5" customHeight="1">
      <c r="A41" s="291"/>
      <c r="B41" s="305"/>
      <c r="C41" s="322">
        <v>0</v>
      </c>
      <c r="D41" s="297">
        <f>+'cash flow'!D41</f>
        <v>0</v>
      </c>
      <c r="E41" s="803"/>
      <c r="F41" s="803"/>
      <c r="G41" s="805">
        <f t="shared" si="0"/>
        <v>0</v>
      </c>
      <c r="H41" s="803"/>
      <c r="I41" s="303">
        <f t="shared" si="5"/>
        <v>0</v>
      </c>
      <c r="K41" s="293">
        <f t="shared" si="1"/>
        <v>0</v>
      </c>
    </row>
    <row r="42" spans="1:11" s="307" customFormat="1" ht="13.5" customHeight="1">
      <c r="A42" s="292">
        <v>2.2999999999999998</v>
      </c>
      <c r="B42" s="309" t="s">
        <v>124</v>
      </c>
      <c r="C42" s="298">
        <v>-25717926543.397999</v>
      </c>
      <c r="D42" s="298">
        <f>+D26+D35</f>
        <v>-3012397310.6473002</v>
      </c>
      <c r="E42" s="804"/>
      <c r="F42" s="804"/>
      <c r="G42" s="805">
        <f t="shared" si="0"/>
        <v>-3012397.3106473004</v>
      </c>
      <c r="H42" s="804"/>
      <c r="I42" s="303">
        <f t="shared" si="5"/>
        <v>-3012397.3106473004</v>
      </c>
      <c r="K42" s="293">
        <f t="shared" si="1"/>
        <v>-3012397.3106473004</v>
      </c>
    </row>
    <row r="43" spans="1:11" s="307" customFormat="1" ht="13.5" customHeight="1">
      <c r="A43" s="292">
        <v>3</v>
      </c>
      <c r="B43" s="309" t="s">
        <v>115</v>
      </c>
      <c r="C43" s="321"/>
      <c r="D43" s="314"/>
      <c r="E43" s="801"/>
      <c r="F43" s="801"/>
      <c r="G43" s="805">
        <f t="shared" si="0"/>
        <v>0</v>
      </c>
      <c r="H43" s="801"/>
      <c r="I43" s="303">
        <f t="shared" si="5"/>
        <v>0</v>
      </c>
      <c r="K43" s="293">
        <f t="shared" si="1"/>
        <v>0</v>
      </c>
    </row>
    <row r="44" spans="1:11" s="307" customFormat="1" ht="13.5" customHeight="1">
      <c r="A44" s="292">
        <v>3.1</v>
      </c>
      <c r="B44" s="309" t="s">
        <v>89</v>
      </c>
      <c r="C44" s="298">
        <v>186137534906.52899</v>
      </c>
      <c r="D44" s="298">
        <f>+SUM(D45:D48)</f>
        <v>397128100758.15308</v>
      </c>
      <c r="E44" s="804"/>
      <c r="F44" s="804"/>
      <c r="G44" s="805">
        <f t="shared" si="0"/>
        <v>397128100.75815308</v>
      </c>
      <c r="H44" s="804"/>
      <c r="I44" s="303">
        <f t="shared" si="5"/>
        <v>397128100.75815308</v>
      </c>
      <c r="K44" s="293">
        <f t="shared" si="1"/>
        <v>397128100.75815308</v>
      </c>
    </row>
    <row r="45" spans="1:11" ht="13.5" customHeight="1">
      <c r="A45" s="291"/>
      <c r="B45" s="308" t="s">
        <v>178</v>
      </c>
      <c r="C45" s="322">
        <v>186137534906.52899</v>
      </c>
      <c r="D45" s="297">
        <f>+'cash flow'!D45</f>
        <v>397128100758.15308</v>
      </c>
      <c r="E45" s="803"/>
      <c r="F45" s="803"/>
      <c r="G45" s="805">
        <f t="shared" si="0"/>
        <v>397128100.75815308</v>
      </c>
      <c r="H45" s="803"/>
      <c r="I45" s="303">
        <f t="shared" si="5"/>
        <v>397128100.75815308</v>
      </c>
      <c r="K45" s="293">
        <f t="shared" si="1"/>
        <v>397128100.75815308</v>
      </c>
    </row>
    <row r="46" spans="1:11" ht="13.5" customHeight="1">
      <c r="A46" s="291"/>
      <c r="B46" s="311" t="s">
        <v>177</v>
      </c>
      <c r="C46" s="322">
        <v>0</v>
      </c>
      <c r="D46" s="297">
        <f>+'cash flow'!D46</f>
        <v>0</v>
      </c>
      <c r="E46" s="803"/>
      <c r="F46" s="803"/>
      <c r="G46" s="805">
        <f t="shared" si="0"/>
        <v>0</v>
      </c>
      <c r="H46" s="803"/>
      <c r="I46" s="303">
        <f t="shared" si="5"/>
        <v>0</v>
      </c>
      <c r="K46" s="293">
        <f t="shared" si="1"/>
        <v>0</v>
      </c>
    </row>
    <row r="47" spans="1:11" ht="13.5" customHeight="1">
      <c r="A47" s="291"/>
      <c r="B47" s="310" t="s">
        <v>112</v>
      </c>
      <c r="C47" s="322">
        <v>0</v>
      </c>
      <c r="D47" s="297">
        <f>+'cash flow'!D47</f>
        <v>0</v>
      </c>
      <c r="E47" s="803"/>
      <c r="F47" s="803"/>
      <c r="G47" s="805">
        <f t="shared" si="0"/>
        <v>0</v>
      </c>
      <c r="H47" s="803"/>
      <c r="I47" s="303">
        <f t="shared" si="5"/>
        <v>0</v>
      </c>
      <c r="K47" s="293">
        <f t="shared" si="1"/>
        <v>0</v>
      </c>
    </row>
    <row r="48" spans="1:11" ht="13.5" customHeight="1">
      <c r="A48" s="291"/>
      <c r="B48" s="305"/>
      <c r="C48" s="322"/>
      <c r="D48" s="297">
        <f>+'cash flow'!D48</f>
        <v>0</v>
      </c>
      <c r="E48" s="803"/>
      <c r="F48" s="803"/>
      <c r="G48" s="805">
        <f t="shared" si="0"/>
        <v>0</v>
      </c>
      <c r="H48" s="803"/>
      <c r="I48" s="303">
        <f t="shared" si="5"/>
        <v>0</v>
      </c>
      <c r="K48" s="293">
        <f t="shared" si="1"/>
        <v>0</v>
      </c>
    </row>
    <row r="49" spans="1:11" s="307" customFormat="1" ht="13.5" customHeight="1">
      <c r="A49" s="292">
        <v>3.2</v>
      </c>
      <c r="B49" s="309" t="s">
        <v>95</v>
      </c>
      <c r="C49" s="298">
        <v>-148002501076.16904</v>
      </c>
      <c r="D49" s="298">
        <f>+SUM(D50:D54)</f>
        <v>-423461882445.37787</v>
      </c>
      <c r="E49" s="804"/>
      <c r="F49" s="804"/>
      <c r="G49" s="805">
        <f t="shared" si="0"/>
        <v>-423461882.44537789</v>
      </c>
      <c r="H49" s="804"/>
      <c r="I49" s="303">
        <f t="shared" si="5"/>
        <v>-423461882.44537789</v>
      </c>
      <c r="K49" s="293">
        <f t="shared" si="1"/>
        <v>-423461882.44537789</v>
      </c>
    </row>
    <row r="50" spans="1:11" ht="13.5" customHeight="1">
      <c r="A50" s="291"/>
      <c r="B50" s="310" t="s">
        <v>113</v>
      </c>
      <c r="C50" s="323">
        <v>-146284719949.43903</v>
      </c>
      <c r="D50" s="297">
        <f>+'cash flow'!D50</f>
        <v>-424386062241.12817</v>
      </c>
      <c r="E50" s="803"/>
      <c r="F50" s="803"/>
      <c r="G50" s="805">
        <f t="shared" si="0"/>
        <v>-424386062.24112815</v>
      </c>
      <c r="H50" s="803"/>
      <c r="I50" s="303">
        <f t="shared" si="5"/>
        <v>-424386062.24112815</v>
      </c>
      <c r="K50" s="293">
        <f>-D50/1000</f>
        <v>424386062.24112815</v>
      </c>
    </row>
    <row r="51" spans="1:11" ht="13.5" customHeight="1">
      <c r="A51" s="291"/>
      <c r="B51" s="308" t="s">
        <v>174</v>
      </c>
      <c r="C51" s="323">
        <v>0</v>
      </c>
      <c r="D51" s="297">
        <f>+'cash flow'!D51</f>
        <v>0</v>
      </c>
      <c r="E51" s="803"/>
      <c r="F51" s="803"/>
      <c r="G51" s="805">
        <f t="shared" si="0"/>
        <v>0</v>
      </c>
      <c r="H51" s="803"/>
      <c r="I51" s="303">
        <f t="shared" si="5"/>
        <v>0</v>
      </c>
      <c r="K51" s="293">
        <f t="shared" ref="K51:K54" si="7">-D51/1000</f>
        <v>0</v>
      </c>
    </row>
    <row r="52" spans="1:11" ht="13.5" customHeight="1">
      <c r="A52" s="291"/>
      <c r="B52" s="308" t="s">
        <v>175</v>
      </c>
      <c r="C52" s="323">
        <v>0</v>
      </c>
      <c r="D52" s="297">
        <f>+'cash flow'!D52</f>
        <v>0</v>
      </c>
      <c r="E52" s="803"/>
      <c r="F52" s="803"/>
      <c r="G52" s="805">
        <f t="shared" si="0"/>
        <v>0</v>
      </c>
      <c r="H52" s="803"/>
      <c r="I52" s="303">
        <f t="shared" si="5"/>
        <v>0</v>
      </c>
      <c r="K52" s="293">
        <f t="shared" si="7"/>
        <v>0</v>
      </c>
    </row>
    <row r="53" spans="1:11" ht="13.5" customHeight="1">
      <c r="A53" s="291"/>
      <c r="B53" s="308" t="s">
        <v>176</v>
      </c>
      <c r="C53" s="323">
        <v>-1717781126.73</v>
      </c>
      <c r="D53" s="297">
        <f>+'cash flow'!D53</f>
        <v>-247168.40000000002</v>
      </c>
      <c r="E53" s="803"/>
      <c r="F53" s="803"/>
      <c r="G53" s="805">
        <f t="shared" si="0"/>
        <v>-247.16840000000002</v>
      </c>
      <c r="H53" s="803"/>
      <c r="I53" s="303">
        <f t="shared" si="5"/>
        <v>-247.16840000000002</v>
      </c>
      <c r="K53" s="293">
        <f t="shared" si="7"/>
        <v>247.16840000000002</v>
      </c>
    </row>
    <row r="54" spans="1:11" ht="13.5" customHeight="1">
      <c r="A54" s="291"/>
      <c r="B54" s="305"/>
      <c r="C54" s="319"/>
      <c r="D54" s="297">
        <f>+'cash flow'!D54</f>
        <v>924426964.15034509</v>
      </c>
      <c r="E54" s="803"/>
      <c r="F54" s="803"/>
      <c r="G54" s="805">
        <f t="shared" si="0"/>
        <v>924426.96415034507</v>
      </c>
      <c r="H54" s="803"/>
      <c r="I54" s="303">
        <f t="shared" si="5"/>
        <v>924426.96415034507</v>
      </c>
      <c r="K54" s="293">
        <f t="shared" si="7"/>
        <v>-924426.96415034507</v>
      </c>
    </row>
    <row r="55" spans="1:11" s="307" customFormat="1" ht="13.5" customHeight="1">
      <c r="A55" s="292">
        <v>3.3</v>
      </c>
      <c r="B55" s="309" t="s">
        <v>126</v>
      </c>
      <c r="C55" s="298">
        <v>38135033830.359955</v>
      </c>
      <c r="D55" s="298">
        <f>+D44+D49</f>
        <v>-26333781687.224792</v>
      </c>
      <c r="E55" s="804"/>
      <c r="F55" s="804"/>
      <c r="G55" s="805">
        <f t="shared" si="0"/>
        <v>-26333781.687224794</v>
      </c>
      <c r="H55" s="804"/>
      <c r="I55" s="306"/>
      <c r="K55" s="293">
        <f t="shared" si="1"/>
        <v>-26333781.687224794</v>
      </c>
    </row>
    <row r="56" spans="1:11" s="307" customFormat="1" ht="13.5" customHeight="1">
      <c r="A56" s="292">
        <v>4</v>
      </c>
      <c r="B56" s="309" t="s">
        <v>125</v>
      </c>
      <c r="C56" s="298">
        <v>-1142259262.3300323</v>
      </c>
      <c r="D56" s="298">
        <f>+D24+D42+D55</f>
        <v>4654772481.604866</v>
      </c>
      <c r="E56" s="804"/>
      <c r="F56" s="804"/>
      <c r="G56" s="805">
        <f t="shared" si="0"/>
        <v>4654772.4816048658</v>
      </c>
      <c r="H56" s="804"/>
      <c r="I56" s="306">
        <f>+I57+C56</f>
        <v>0</v>
      </c>
      <c r="K56" s="293">
        <f t="shared" si="1"/>
        <v>4654772.4816048658</v>
      </c>
    </row>
    <row r="57" spans="1:11" ht="13.5" customHeight="1">
      <c r="A57" s="292">
        <v>5</v>
      </c>
      <c r="B57" s="309" t="s">
        <v>127</v>
      </c>
      <c r="C57" s="321">
        <v>5582676038.6365643</v>
      </c>
      <c r="D57" s="298">
        <f>+C58</f>
        <v>4440416776.3065319</v>
      </c>
      <c r="E57" s="804"/>
      <c r="F57" s="804"/>
      <c r="G57" s="805">
        <f t="shared" si="0"/>
        <v>4440416.7763065323</v>
      </c>
      <c r="H57" s="804"/>
      <c r="I57" s="303">
        <f>+C57-C58</f>
        <v>1142259262.3300323</v>
      </c>
      <c r="K57" s="293">
        <f t="shared" si="1"/>
        <v>4440416.7763065323</v>
      </c>
    </row>
    <row r="58" spans="1:11" ht="13.5" customHeight="1">
      <c r="A58" s="292">
        <v>6</v>
      </c>
      <c r="B58" s="305" t="s">
        <v>1009</v>
      </c>
      <c r="C58" s="298">
        <v>4440416776.3065319</v>
      </c>
      <c r="D58" s="298">
        <f>+D57+D56</f>
        <v>9095189257.9113979</v>
      </c>
      <c r="E58" s="804">
        <f>+E34</f>
        <v>9332254.7200000007</v>
      </c>
      <c r="F58" s="804"/>
      <c r="G58" s="805">
        <f t="shared" si="0"/>
        <v>9095189.2579113971</v>
      </c>
      <c r="H58" s="804"/>
      <c r="I58" s="303">
        <f>+balance!D9</f>
        <v>9034919308.4724007</v>
      </c>
      <c r="K58" s="293">
        <f t="shared" si="1"/>
        <v>9095189.2579113971</v>
      </c>
    </row>
    <row r="59" spans="1:11" ht="12" customHeight="1">
      <c r="E59" s="295">
        <f>+'cash flow'!D58</f>
        <v>9034919308.5218239</v>
      </c>
      <c r="I59" s="293">
        <f>+I58-D58</f>
        <v>-60269949.438997269</v>
      </c>
    </row>
    <row r="60" spans="1:11" ht="16.5" customHeight="1">
      <c r="A60" s="289"/>
      <c r="B60" s="288" t="str">
        <f>+income!B37</f>
        <v xml:space="preserve">                                       Гүйцэтгэх  Захирал:                                   ________________                /Ц.Баатарсайхан/</v>
      </c>
      <c r="C60" s="320"/>
      <c r="E60" s="295">
        <f>+E58+E59</f>
        <v>9044251563.2418232</v>
      </c>
      <c r="I60" s="430"/>
    </row>
    <row r="61" spans="1:11" ht="10.5" customHeight="1">
      <c r="E61" s="295">
        <f>+E60-D58</f>
        <v>-50937694.669574738</v>
      </c>
    </row>
    <row r="62" spans="1:11" ht="15" customHeight="1">
      <c r="A62" s="289"/>
      <c r="B62" s="288" t="str">
        <f>+income!B39</f>
        <v xml:space="preserve">                                       Санхүү бүртгэл хариуцсан захирал:        ________________               /Д.Содгэрэл/</v>
      </c>
      <c r="C62" s="320"/>
      <c r="E62" s="295">
        <f>+'NEGTGESEN BALANC'!L9</f>
        <v>9044251563.1924</v>
      </c>
      <c r="I62" s="295">
        <f>+D58-D57</f>
        <v>4654772481.604866</v>
      </c>
    </row>
    <row r="63" spans="1:11">
      <c r="E63" s="295">
        <f>+E62-D58</f>
        <v>-50937694.718997955</v>
      </c>
      <c r="I63" s="295">
        <f>+I62-D56</f>
        <v>0</v>
      </c>
    </row>
  </sheetData>
  <mergeCells count="1">
    <mergeCell ref="A1:D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I29"/>
  <sheetViews>
    <sheetView zoomScale="70" zoomScaleNormal="70" workbookViewId="0">
      <selection activeCell="D13" sqref="D13"/>
    </sheetView>
  </sheetViews>
  <sheetFormatPr defaultColWidth="9.109375" defaultRowHeight="13.2"/>
  <cols>
    <col min="1" max="1" width="5.109375" style="416" customWidth="1"/>
    <col min="2" max="2" width="36" style="416" customWidth="1"/>
    <col min="3" max="3" width="16.6640625" style="416" customWidth="1"/>
    <col min="4" max="4" width="17.77734375" style="416" bestFit="1" customWidth="1"/>
    <col min="5" max="5" width="18.77734375" style="416" bestFit="1" customWidth="1"/>
    <col min="6" max="6" width="18.44140625" style="416" bestFit="1" customWidth="1"/>
    <col min="7" max="7" width="27.44140625" style="416" bestFit="1" customWidth="1"/>
    <col min="8" max="8" width="20.33203125" style="420" bestFit="1" customWidth="1"/>
    <col min="9" max="9" width="20.88671875" style="420" bestFit="1" customWidth="1"/>
    <col min="10" max="10" width="17.33203125" style="416" bestFit="1" customWidth="1"/>
    <col min="11" max="12" width="12.109375" style="416" customWidth="1"/>
    <col min="13" max="16384" width="9.109375" style="416"/>
  </cols>
  <sheetData>
    <row r="1" spans="1:9">
      <c r="A1" s="982" t="s">
        <v>1012</v>
      </c>
      <c r="B1" s="982"/>
      <c r="C1" s="982"/>
      <c r="D1" s="982"/>
      <c r="E1" s="982"/>
      <c r="F1" s="982"/>
      <c r="G1" s="982"/>
    </row>
    <row r="2" spans="1:9">
      <c r="A2" s="417" t="str">
        <f>+nuur1!A3</f>
        <v>"ГОВЬ" ХК-ийн</v>
      </c>
      <c r="G2" s="418" t="str">
        <f>+nuur1!A7</f>
        <v>2022  оны  12  сарын 31 өдөр</v>
      </c>
    </row>
    <row r="3" spans="1:9">
      <c r="A3" s="416" t="s">
        <v>0</v>
      </c>
      <c r="G3" s="418" t="s">
        <v>1</v>
      </c>
    </row>
    <row r="5" spans="1:9" ht="63.75" customHeight="1">
      <c r="A5" s="290" t="s">
        <v>79</v>
      </c>
      <c r="B5" s="290" t="s">
        <v>80</v>
      </c>
      <c r="C5" s="290" t="s">
        <v>81</v>
      </c>
      <c r="D5" s="300" t="s">
        <v>52</v>
      </c>
      <c r="E5" s="300" t="s">
        <v>54</v>
      </c>
      <c r="F5" s="300" t="s">
        <v>58</v>
      </c>
      <c r="G5" s="300" t="s">
        <v>82</v>
      </c>
    </row>
    <row r="6" spans="1:9" s="419" customFormat="1" ht="31.5" customHeight="1">
      <c r="A6" s="324">
        <v>1</v>
      </c>
      <c r="B6" s="317" t="s">
        <v>1445</v>
      </c>
      <c r="C6" s="908">
        <f>+balance!D59</f>
        <v>780112793.59999847</v>
      </c>
      <c r="D6" s="908">
        <f>+balance!C62</f>
        <v>48870400577.309998</v>
      </c>
      <c r="E6" s="908">
        <f>+balance!C63</f>
        <v>561877727.10192502</v>
      </c>
      <c r="F6" s="908">
        <v>-21087268202.245163</v>
      </c>
      <c r="G6" s="908">
        <f>SUM(C6:F6)</f>
        <v>29125122895.766762</v>
      </c>
      <c r="H6" s="421"/>
      <c r="I6" s="420"/>
    </row>
    <row r="7" spans="1:9" ht="31.5" customHeight="1">
      <c r="A7" s="290">
        <v>2</v>
      </c>
      <c r="B7" s="318" t="s">
        <v>83</v>
      </c>
      <c r="C7" s="909"/>
      <c r="D7" s="909"/>
      <c r="E7" s="909"/>
      <c r="F7" s="909"/>
      <c r="G7" s="909">
        <f>SUM(C7:F7)</f>
        <v>0</v>
      </c>
    </row>
    <row r="8" spans="1:9" s="419" customFormat="1" ht="31.5" customHeight="1">
      <c r="A8" s="324">
        <v>3</v>
      </c>
      <c r="B8" s="317" t="s">
        <v>970</v>
      </c>
      <c r="C8" s="908">
        <f>+C6+C7</f>
        <v>780112793.59999847</v>
      </c>
      <c r="D8" s="908">
        <f>+D6+D7</f>
        <v>48870400577.309998</v>
      </c>
      <c r="E8" s="908">
        <f t="shared" ref="E8" si="0">+E6+E7</f>
        <v>561877727.10192502</v>
      </c>
      <c r="F8" s="908">
        <f>+F6+F7</f>
        <v>-21087268202.245163</v>
      </c>
      <c r="G8" s="908">
        <f>SUM(C8:F8)</f>
        <v>29125122895.766762</v>
      </c>
      <c r="H8" s="421"/>
      <c r="I8" s="420"/>
    </row>
    <row r="9" spans="1:9" ht="31.5" customHeight="1">
      <c r="A9" s="290">
        <v>4</v>
      </c>
      <c r="B9" s="318" t="s">
        <v>84</v>
      </c>
      <c r="C9" s="909"/>
      <c r="D9" s="909"/>
      <c r="E9" s="909"/>
      <c r="F9" s="909">
        <v>-6997609684.9672251</v>
      </c>
      <c r="G9" s="909">
        <f>SUM(C9:F9)</f>
        <v>-6997609684.9672251</v>
      </c>
    </row>
    <row r="10" spans="1:9" ht="31.5" customHeight="1">
      <c r="A10" s="290">
        <v>5</v>
      </c>
      <c r="B10" s="318" t="s">
        <v>85</v>
      </c>
      <c r="C10" s="909"/>
      <c r="D10" s="909">
        <v>-4301861000</v>
      </c>
      <c r="E10" s="909">
        <v>-11997887572.077614</v>
      </c>
      <c r="F10" s="909"/>
      <c r="G10" s="909">
        <f>SUM(C10:F10)</f>
        <v>-16299748572.077614</v>
      </c>
    </row>
    <row r="11" spans="1:9" ht="31.5" customHeight="1">
      <c r="A11" s="290">
        <v>7</v>
      </c>
      <c r="B11" s="318" t="s">
        <v>87</v>
      </c>
      <c r="C11" s="909"/>
      <c r="D11" s="909"/>
      <c r="E11" s="909"/>
      <c r="F11" s="909">
        <v>0</v>
      </c>
      <c r="G11" s="909">
        <f>SUM(C11:F11)</f>
        <v>0</v>
      </c>
    </row>
    <row r="12" spans="1:9" s="419" customFormat="1" ht="31.5" customHeight="1">
      <c r="A12" s="324">
        <v>9</v>
      </c>
      <c r="B12" s="317" t="str">
        <f>+G2</f>
        <v>2022  оны  12  сарын 31 өдөр</v>
      </c>
      <c r="C12" s="908">
        <f>SUM(C8:C11)</f>
        <v>780112793.59999847</v>
      </c>
      <c r="D12" s="908">
        <f>SUM(D8:D11)</f>
        <v>44568539577.309998</v>
      </c>
      <c r="E12" s="908">
        <f>SUM(E8:E11)</f>
        <v>-11436009844.975689</v>
      </c>
      <c r="F12" s="908">
        <f>SUM(F8:F11)</f>
        <v>-28084877887.212387</v>
      </c>
      <c r="G12" s="908">
        <f>SUM(G8:G11)</f>
        <v>5827764638.7219238</v>
      </c>
      <c r="H12" s="421"/>
      <c r="I12" s="420"/>
    </row>
    <row r="13" spans="1:9" s="870" customFormat="1">
      <c r="A13" s="866"/>
      <c r="B13" s="867"/>
      <c r="C13" s="868"/>
      <c r="D13" s="868">
        <f>+D12-balance!D62</f>
        <v>0</v>
      </c>
      <c r="E13" s="868"/>
      <c r="F13" s="869"/>
      <c r="G13" s="868"/>
    </row>
    <row r="14" spans="1:9" s="871" customFormat="1">
      <c r="G14" s="872"/>
      <c r="H14" s="870"/>
      <c r="I14" s="870"/>
    </row>
    <row r="15" spans="1:9">
      <c r="C15" s="416" t="str">
        <f>+'cash flow'!B60</f>
        <v xml:space="preserve">                                       Гүйцэтгэх  Захирал:                                   ________________                /Ц.Баатарсайхан/</v>
      </c>
    </row>
    <row r="17" spans="3:7">
      <c r="C17" s="416" t="str">
        <f>+'cash flow'!B62</f>
        <v xml:space="preserve">                                       Санхүү бүртгэл хариуцсан захирал:        ________________               /Д.Содгэрэл/</v>
      </c>
    </row>
    <row r="19" spans="3:7">
      <c r="G19" s="420"/>
    </row>
    <row r="20" spans="3:7">
      <c r="D20" s="420"/>
      <c r="E20" s="420"/>
      <c r="F20" s="420"/>
      <c r="G20" s="420"/>
    </row>
    <row r="21" spans="3:7">
      <c r="D21" s="420"/>
      <c r="E21" s="420"/>
      <c r="F21" s="429"/>
      <c r="G21" s="420"/>
    </row>
    <row r="22" spans="3:7">
      <c r="D22" s="420"/>
      <c r="E22" s="420"/>
      <c r="F22" s="420"/>
      <c r="G22" s="420"/>
    </row>
    <row r="23" spans="3:7">
      <c r="D23" s="420"/>
      <c r="E23" s="420"/>
      <c r="F23" s="420"/>
      <c r="G23" s="420"/>
    </row>
    <row r="24" spans="3:7">
      <c r="D24" s="422"/>
      <c r="G24" s="420"/>
    </row>
    <row r="25" spans="3:7">
      <c r="C25" s="901"/>
      <c r="G25" s="420"/>
    </row>
    <row r="26" spans="3:7">
      <c r="D26" s="420"/>
      <c r="G26" s="420"/>
    </row>
    <row r="27" spans="3:7">
      <c r="G27" s="420"/>
    </row>
    <row r="28" spans="3:7">
      <c r="G28" s="420"/>
    </row>
    <row r="29" spans="3:7">
      <c r="G29" s="422"/>
    </row>
  </sheetData>
  <mergeCells count="1">
    <mergeCell ref="A1:G1"/>
  </mergeCells>
  <phoneticPr fontId="9" type="noConversion"/>
  <pageMargins left="0.39" right="0.33" top="0.75" bottom="0.75" header="0.3" footer="0.3"/>
  <pageSetup paperSize="9" scale="8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sheetPr>
  <dimension ref="A1:M31"/>
  <sheetViews>
    <sheetView zoomScale="80" zoomScaleNormal="80" workbookViewId="0">
      <selection activeCell="F14" sqref="C14:F14"/>
    </sheetView>
  </sheetViews>
  <sheetFormatPr defaultColWidth="9.109375" defaultRowHeight="13.2"/>
  <cols>
    <col min="1" max="1" width="5.109375" style="416" customWidth="1"/>
    <col min="2" max="2" width="36" style="416" customWidth="1"/>
    <col min="3" max="3" width="16.6640625" style="416" customWidth="1"/>
    <col min="4" max="4" width="12.5546875" style="416" customWidth="1"/>
    <col min="5" max="5" width="11.44140625" style="416" customWidth="1"/>
    <col min="6" max="6" width="17.6640625" style="416" bestFit="1" customWidth="1"/>
    <col min="7" max="7" width="14.109375" style="416" customWidth="1"/>
    <col min="8" max="8" width="14.88671875" style="416" customWidth="1"/>
    <col min="9" max="9" width="17.6640625" style="416" bestFit="1" customWidth="1"/>
    <col min="10" max="10" width="27.33203125" style="416" bestFit="1" customWidth="1"/>
    <col min="11" max="11" width="20.33203125" style="420" bestFit="1" customWidth="1"/>
    <col min="12" max="12" width="20.88671875" style="420" bestFit="1" customWidth="1"/>
    <col min="13" max="13" width="17.33203125" style="416" bestFit="1" customWidth="1"/>
    <col min="14" max="15" width="12.109375" style="416" customWidth="1"/>
    <col min="16" max="16384" width="9.109375" style="416"/>
  </cols>
  <sheetData>
    <row r="1" spans="1:13">
      <c r="A1" s="982" t="s">
        <v>1012</v>
      </c>
      <c r="B1" s="982"/>
      <c r="C1" s="982"/>
      <c r="D1" s="982"/>
      <c r="E1" s="982"/>
      <c r="F1" s="982"/>
      <c r="G1" s="982"/>
      <c r="H1" s="982"/>
      <c r="I1" s="982"/>
      <c r="J1" s="982"/>
    </row>
    <row r="2" spans="1:13">
      <c r="A2" s="417" t="str">
        <f>+[2]nuur1!A3</f>
        <v xml:space="preserve"> ГОЁО НООЛУУР ХХК-ИЙН</v>
      </c>
      <c r="H2" s="418"/>
      <c r="J2" s="418" t="str">
        <f>+[2]nuur1!A7</f>
        <v>2019  оны  06  сарын 30 өдөр</v>
      </c>
    </row>
    <row r="3" spans="1:13">
      <c r="A3" s="416" t="s">
        <v>0</v>
      </c>
      <c r="J3" s="418" t="s">
        <v>1</v>
      </c>
    </row>
    <row r="5" spans="1:13" ht="52.8">
      <c r="A5" s="873" t="s">
        <v>79</v>
      </c>
      <c r="B5" s="873" t="s">
        <v>80</v>
      </c>
      <c r="C5" s="873" t="s">
        <v>81</v>
      </c>
      <c r="D5" s="874" t="s">
        <v>48</v>
      </c>
      <c r="E5" s="874" t="s">
        <v>50</v>
      </c>
      <c r="F5" s="874" t="s">
        <v>52</v>
      </c>
      <c r="G5" s="874" t="s">
        <v>54</v>
      </c>
      <c r="H5" s="874" t="s">
        <v>56</v>
      </c>
      <c r="I5" s="874" t="s">
        <v>58</v>
      </c>
      <c r="J5" s="874" t="s">
        <v>82</v>
      </c>
    </row>
    <row r="6" spans="1:13" s="419" customFormat="1">
      <c r="A6" s="875">
        <v>1</v>
      </c>
      <c r="B6" s="876" t="s">
        <v>1410</v>
      </c>
      <c r="C6" s="877"/>
      <c r="D6" s="877"/>
      <c r="E6" s="877"/>
      <c r="F6" s="877"/>
      <c r="G6" s="877"/>
      <c r="H6" s="877"/>
      <c r="I6" s="877"/>
      <c r="J6" s="877">
        <f t="shared" ref="J6:J12" si="0">SUM(C6:I6)</f>
        <v>0</v>
      </c>
      <c r="K6" s="421"/>
      <c r="L6" s="420"/>
    </row>
    <row r="7" spans="1:13" ht="39.6">
      <c r="A7" s="873">
        <v>2</v>
      </c>
      <c r="B7" s="878" t="s">
        <v>83</v>
      </c>
      <c r="C7" s="856"/>
      <c r="D7" s="856"/>
      <c r="E7" s="856"/>
      <c r="F7" s="856"/>
      <c r="G7" s="856"/>
      <c r="H7" s="856"/>
      <c r="I7" s="856"/>
      <c r="J7" s="856">
        <f t="shared" si="0"/>
        <v>0</v>
      </c>
    </row>
    <row r="8" spans="1:13" s="419" customFormat="1">
      <c r="A8" s="875">
        <v>3</v>
      </c>
      <c r="B8" s="876" t="s">
        <v>970</v>
      </c>
      <c r="C8" s="877">
        <f t="shared" ref="C8:I8" si="1">+C6+C7</f>
        <v>0</v>
      </c>
      <c r="D8" s="877">
        <f t="shared" si="1"/>
        <v>0</v>
      </c>
      <c r="E8" s="877">
        <f t="shared" si="1"/>
        <v>0</v>
      </c>
      <c r="F8" s="877">
        <f t="shared" si="1"/>
        <v>0</v>
      </c>
      <c r="G8" s="877">
        <f t="shared" si="1"/>
        <v>0</v>
      </c>
      <c r="H8" s="877">
        <f t="shared" si="1"/>
        <v>0</v>
      </c>
      <c r="I8" s="877">
        <f t="shared" si="1"/>
        <v>0</v>
      </c>
      <c r="J8" s="877">
        <f t="shared" si="0"/>
        <v>0</v>
      </c>
      <c r="K8" s="421"/>
      <c r="L8" s="420"/>
    </row>
    <row r="9" spans="1:13">
      <c r="A9" s="873">
        <v>4</v>
      </c>
      <c r="B9" s="878" t="s">
        <v>84</v>
      </c>
      <c r="C9" s="856"/>
      <c r="D9" s="856"/>
      <c r="E9" s="856"/>
      <c r="F9" s="856"/>
      <c r="G9" s="856"/>
      <c r="H9" s="856"/>
      <c r="I9" s="856">
        <f>+[2]income!D28</f>
        <v>0</v>
      </c>
      <c r="J9" s="856">
        <f t="shared" si="0"/>
        <v>0</v>
      </c>
    </row>
    <row r="10" spans="1:13">
      <c r="A10" s="873">
        <v>5</v>
      </c>
      <c r="B10" s="878" t="s">
        <v>85</v>
      </c>
      <c r="C10" s="856"/>
      <c r="D10" s="856"/>
      <c r="E10" s="856"/>
      <c r="F10" s="856"/>
      <c r="G10" s="856"/>
      <c r="H10" s="856"/>
      <c r="I10" s="856"/>
      <c r="J10" s="856">
        <f t="shared" si="0"/>
        <v>0</v>
      </c>
    </row>
    <row r="11" spans="1:13">
      <c r="A11" s="873">
        <v>6</v>
      </c>
      <c r="B11" s="878" t="s">
        <v>86</v>
      </c>
      <c r="C11" s="856">
        <f>+[2]balance!D58</f>
        <v>20160055367</v>
      </c>
      <c r="D11" s="856"/>
      <c r="E11" s="856"/>
      <c r="F11" s="856">
        <f>+[2]balance!D62</f>
        <v>6013584797.7800007</v>
      </c>
      <c r="G11" s="856"/>
      <c r="H11" s="856"/>
      <c r="I11" s="856">
        <f>+[2]balance!D65</f>
        <v>-27022907470.549999</v>
      </c>
      <c r="J11" s="856">
        <f t="shared" si="0"/>
        <v>-849267305.77000046</v>
      </c>
    </row>
    <row r="12" spans="1:13">
      <c r="A12" s="873">
        <v>7</v>
      </c>
      <c r="B12" s="878" t="s">
        <v>87</v>
      </c>
      <c r="C12" s="856"/>
      <c r="D12" s="856"/>
      <c r="E12" s="856"/>
      <c r="F12" s="856"/>
      <c r="G12" s="856"/>
      <c r="H12" s="856"/>
      <c r="I12" s="856">
        <v>0</v>
      </c>
      <c r="J12" s="856">
        <f t="shared" si="0"/>
        <v>0</v>
      </c>
    </row>
    <row r="13" spans="1:13" ht="26.4">
      <c r="A13" s="873">
        <v>8</v>
      </c>
      <c r="B13" s="878" t="s">
        <v>88</v>
      </c>
      <c r="C13" s="856"/>
      <c r="D13" s="856"/>
      <c r="E13" s="856"/>
      <c r="F13" s="856"/>
      <c r="G13" s="856"/>
      <c r="H13" s="856"/>
      <c r="I13" s="856"/>
      <c r="J13" s="856">
        <f>+F13+I13</f>
        <v>0</v>
      </c>
      <c r="M13" s="422"/>
    </row>
    <row r="14" spans="1:13" s="419" customFormat="1">
      <c r="A14" s="875">
        <v>9</v>
      </c>
      <c r="B14" s="876" t="str">
        <f>+J2</f>
        <v>2019  оны  06  сарын 30 өдөр</v>
      </c>
      <c r="C14" s="877">
        <f t="shared" ref="C14:J14" si="2">SUM(C8:C13)</f>
        <v>20160055367</v>
      </c>
      <c r="D14" s="877">
        <f t="shared" si="2"/>
        <v>0</v>
      </c>
      <c r="E14" s="877">
        <f t="shared" si="2"/>
        <v>0</v>
      </c>
      <c r="F14" s="877">
        <f t="shared" si="2"/>
        <v>6013584797.7800007</v>
      </c>
      <c r="G14" s="877">
        <f t="shared" si="2"/>
        <v>0</v>
      </c>
      <c r="H14" s="877">
        <f t="shared" si="2"/>
        <v>0</v>
      </c>
      <c r="I14" s="877">
        <f t="shared" si="2"/>
        <v>-27022907470.549999</v>
      </c>
      <c r="J14" s="877">
        <f t="shared" si="2"/>
        <v>-849267305.77000046</v>
      </c>
      <c r="K14" s="421"/>
      <c r="L14" s="420"/>
    </row>
    <row r="15" spans="1:13" s="420" customFormat="1">
      <c r="A15" s="331"/>
      <c r="B15" s="395"/>
      <c r="C15" s="428"/>
      <c r="D15" s="428"/>
      <c r="E15" s="428"/>
      <c r="F15" s="428"/>
      <c r="G15" s="428"/>
      <c r="H15" s="428"/>
      <c r="I15" s="869"/>
      <c r="J15" s="868">
        <f>+[2]balance!D67</f>
        <v>-849267305.77000046</v>
      </c>
    </row>
    <row r="16" spans="1:13">
      <c r="I16" s="871"/>
      <c r="J16" s="872">
        <f>+J15-J14</f>
        <v>0</v>
      </c>
    </row>
    <row r="17" spans="3:10">
      <c r="C17" s="416" t="str">
        <f>+'[2]cash flow'!B60</f>
        <v xml:space="preserve">                                       Гүйцэтгэх  Захирал:        ________________                              /Ц.Баатарсайхан/</v>
      </c>
      <c r="I17" s="871"/>
      <c r="J17" s="871"/>
    </row>
    <row r="18" spans="3:10">
      <c r="I18" s="871"/>
      <c r="J18" s="871"/>
    </row>
    <row r="19" spans="3:10">
      <c r="C19" s="416" t="str">
        <f>+'[2]cash flow'!B62</f>
        <v xml:space="preserve">                                             СБУГ-ийн захирал:        ________________               /Г.Сэлэнгэ/</v>
      </c>
      <c r="I19" s="871"/>
      <c r="J19" s="871"/>
    </row>
    <row r="20" spans="3:10">
      <c r="I20" s="871"/>
      <c r="J20" s="871"/>
    </row>
    <row r="21" spans="3:10">
      <c r="J21" s="420"/>
    </row>
    <row r="22" spans="3:10">
      <c r="F22" s="420"/>
      <c r="G22" s="420"/>
      <c r="H22" s="420"/>
      <c r="J22" s="420"/>
    </row>
    <row r="23" spans="3:10">
      <c r="F23" s="420"/>
      <c r="G23" s="420"/>
      <c r="H23" s="420"/>
      <c r="I23" s="429"/>
      <c r="J23" s="420"/>
    </row>
    <row r="24" spans="3:10">
      <c r="F24" s="420"/>
      <c r="G24" s="420"/>
      <c r="H24" s="420"/>
      <c r="I24" s="420"/>
      <c r="J24" s="420"/>
    </row>
    <row r="25" spans="3:10">
      <c r="F25" s="420"/>
      <c r="G25" s="420"/>
      <c r="H25" s="420"/>
      <c r="I25" s="420"/>
      <c r="J25" s="420"/>
    </row>
    <row r="26" spans="3:10">
      <c r="F26" s="422"/>
      <c r="J26" s="420"/>
    </row>
    <row r="27" spans="3:10">
      <c r="J27" s="420"/>
    </row>
    <row r="28" spans="3:10">
      <c r="F28" s="420"/>
      <c r="J28" s="420"/>
    </row>
    <row r="29" spans="3:10">
      <c r="J29" s="420"/>
    </row>
    <row r="30" spans="3:10">
      <c r="J30" s="420"/>
    </row>
    <row r="31" spans="3:10">
      <c r="J31" s="422"/>
    </row>
  </sheetData>
  <mergeCells count="1">
    <mergeCell ref="A1:J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2060"/>
  </sheetPr>
  <dimension ref="A1:M19"/>
  <sheetViews>
    <sheetView zoomScale="80" zoomScaleNormal="80" workbookViewId="0">
      <selection activeCell="J17" sqref="J17"/>
    </sheetView>
  </sheetViews>
  <sheetFormatPr defaultColWidth="9.109375" defaultRowHeight="13.2"/>
  <cols>
    <col min="1" max="1" width="5.109375" style="416" customWidth="1"/>
    <col min="2" max="2" width="36" style="416" customWidth="1"/>
    <col min="3" max="3" width="16.6640625" style="416" customWidth="1"/>
    <col min="4" max="4" width="12.5546875" style="416" customWidth="1"/>
    <col min="5" max="5" width="11.44140625" style="416" customWidth="1"/>
    <col min="6" max="6" width="17.6640625" style="416" bestFit="1" customWidth="1"/>
    <col min="7" max="7" width="14.109375" style="416" customWidth="1"/>
    <col min="8" max="8" width="14.88671875" style="416" customWidth="1"/>
    <col min="9" max="9" width="17.6640625" style="416" bestFit="1" customWidth="1"/>
    <col min="10" max="10" width="27.33203125" style="416" bestFit="1" customWidth="1"/>
    <col min="11" max="13" width="17.5546875" style="419" customWidth="1"/>
    <col min="14" max="16384" width="9.109375" style="416"/>
  </cols>
  <sheetData>
    <row r="1" spans="1:13">
      <c r="A1" s="982" t="s">
        <v>1012</v>
      </c>
      <c r="B1" s="982"/>
      <c r="C1" s="982"/>
      <c r="D1" s="982"/>
      <c r="E1" s="982"/>
      <c r="F1" s="982"/>
      <c r="G1" s="982"/>
      <c r="H1" s="982"/>
      <c r="I1" s="982"/>
      <c r="J1" s="982"/>
    </row>
    <row r="2" spans="1:13">
      <c r="A2" s="417" t="str">
        <f>+nuur1!A3</f>
        <v>"ГОВЬ" ХК-ийн</v>
      </c>
      <c r="H2" s="418"/>
      <c r="J2" s="418" t="str">
        <f>+nuur1!A7</f>
        <v>2022  оны  12  сарын 31 өдөр</v>
      </c>
    </row>
    <row r="3" spans="1:13">
      <c r="A3" s="416" t="s">
        <v>0</v>
      </c>
      <c r="J3" s="418" t="s">
        <v>1</v>
      </c>
    </row>
    <row r="5" spans="1:13" ht="63.75" customHeight="1">
      <c r="A5" s="290" t="s">
        <v>79</v>
      </c>
      <c r="B5" s="290" t="s">
        <v>80</v>
      </c>
      <c r="C5" s="290" t="s">
        <v>81</v>
      </c>
      <c r="D5" s="300" t="s">
        <v>48</v>
      </c>
      <c r="E5" s="300" t="s">
        <v>50</v>
      </c>
      <c r="F5" s="300" t="s">
        <v>52</v>
      </c>
      <c r="G5" s="300" t="s">
        <v>54</v>
      </c>
      <c r="H5" s="300" t="s">
        <v>56</v>
      </c>
      <c r="I5" s="300" t="s">
        <v>58</v>
      </c>
      <c r="J5" s="300" t="s">
        <v>82</v>
      </c>
    </row>
    <row r="6" spans="1:13" s="419" customFormat="1" ht="31.5" customHeight="1">
      <c r="A6" s="324">
        <v>1</v>
      </c>
      <c r="B6" s="317" t="s">
        <v>1410</v>
      </c>
      <c r="C6" s="792">
        <f>+'capital pr'!D25</f>
        <v>780112500</v>
      </c>
      <c r="D6" s="792">
        <f>+'capital pr'!E17</f>
        <v>0</v>
      </c>
      <c r="E6" s="792">
        <f>+'capital pr'!F17</f>
        <v>0</v>
      </c>
      <c r="F6" s="792">
        <f>+balance!C62</f>
        <v>48870400577.309998</v>
      </c>
      <c r="G6" s="792">
        <f>+'capital pr'!H17</f>
        <v>0</v>
      </c>
      <c r="H6" s="792">
        <f>+'capital pr'!I17</f>
        <v>0</v>
      </c>
      <c r="I6" s="792">
        <f>+balance!C65</f>
        <v>-21087268202.183891</v>
      </c>
      <c r="J6" s="792">
        <f t="shared" ref="J6:J12" si="0">SUM(C6:I6)</f>
        <v>28563244875.126106</v>
      </c>
      <c r="K6" s="879"/>
    </row>
    <row r="7" spans="1:13" ht="31.5" customHeight="1">
      <c r="A7" s="290">
        <v>2</v>
      </c>
      <c r="B7" s="318" t="s">
        <v>83</v>
      </c>
      <c r="C7" s="793"/>
      <c r="D7" s="793"/>
      <c r="E7" s="793"/>
      <c r="F7" s="793"/>
      <c r="G7" s="793"/>
      <c r="H7" s="793"/>
      <c r="I7" s="793"/>
      <c r="J7" s="793">
        <f t="shared" si="0"/>
        <v>0</v>
      </c>
    </row>
    <row r="8" spans="1:13" s="419" customFormat="1" ht="31.5" customHeight="1">
      <c r="A8" s="324">
        <v>3</v>
      </c>
      <c r="B8" s="317" t="s">
        <v>970</v>
      </c>
      <c r="C8" s="792">
        <f t="shared" ref="C8:I8" si="1">+C6+C7</f>
        <v>780112500</v>
      </c>
      <c r="D8" s="792">
        <f t="shared" si="1"/>
        <v>0</v>
      </c>
      <c r="E8" s="792">
        <f t="shared" si="1"/>
        <v>0</v>
      </c>
      <c r="F8" s="792">
        <f t="shared" si="1"/>
        <v>48870400577.309998</v>
      </c>
      <c r="G8" s="792">
        <f t="shared" si="1"/>
        <v>0</v>
      </c>
      <c r="H8" s="792">
        <f t="shared" si="1"/>
        <v>0</v>
      </c>
      <c r="I8" s="792">
        <f t="shared" si="1"/>
        <v>-21087268202.183891</v>
      </c>
      <c r="J8" s="792">
        <f t="shared" si="0"/>
        <v>28563244875.126106</v>
      </c>
    </row>
    <row r="9" spans="1:13" ht="31.5" customHeight="1">
      <c r="A9" s="290">
        <v>4</v>
      </c>
      <c r="B9" s="318" t="s">
        <v>84</v>
      </c>
      <c r="C9" s="793"/>
      <c r="D9" s="793"/>
      <c r="E9" s="793"/>
      <c r="F9" s="793"/>
      <c r="G9" s="793"/>
      <c r="H9" s="793"/>
      <c r="I9" s="793">
        <f>+income!D28</f>
        <v>-6997609684.9672251</v>
      </c>
      <c r="J9" s="793">
        <f t="shared" si="0"/>
        <v>-6997609684.9672251</v>
      </c>
    </row>
    <row r="10" spans="1:13" ht="31.5" customHeight="1">
      <c r="A10" s="290">
        <v>5</v>
      </c>
      <c r="B10" s="318" t="s">
        <v>85</v>
      </c>
      <c r="C10" s="793"/>
      <c r="D10" s="793"/>
      <c r="E10" s="793"/>
      <c r="F10" s="793"/>
      <c r="G10" s="793"/>
      <c r="H10" s="793"/>
      <c r="I10" s="793"/>
      <c r="J10" s="793">
        <f t="shared" si="0"/>
        <v>0</v>
      </c>
    </row>
    <row r="11" spans="1:13" ht="31.5" customHeight="1">
      <c r="A11" s="290">
        <v>6</v>
      </c>
      <c r="B11" s="318" t="s">
        <v>86</v>
      </c>
      <c r="C11" s="793"/>
      <c r="D11" s="793"/>
      <c r="E11" s="793"/>
      <c r="F11" s="793"/>
      <c r="G11" s="793"/>
      <c r="H11" s="793"/>
      <c r="I11" s="793">
        <v>-37924271205.82</v>
      </c>
      <c r="J11" s="793">
        <f t="shared" si="0"/>
        <v>-37924271205.82</v>
      </c>
    </row>
    <row r="12" spans="1:13" ht="31.5" customHeight="1">
      <c r="A12" s="290">
        <v>7</v>
      </c>
      <c r="B12" s="318" t="s">
        <v>87</v>
      </c>
      <c r="C12" s="793"/>
      <c r="D12" s="793"/>
      <c r="E12" s="793"/>
      <c r="F12" s="793"/>
      <c r="G12" s="793"/>
      <c r="H12" s="793"/>
      <c r="I12" s="793">
        <f>-7801125*100*6.8</f>
        <v>-5304765000</v>
      </c>
      <c r="J12" s="793">
        <f t="shared" si="0"/>
        <v>-5304765000</v>
      </c>
    </row>
    <row r="13" spans="1:13" ht="31.5" customHeight="1">
      <c r="A13" s="290">
        <v>8</v>
      </c>
      <c r="B13" s="318" t="s">
        <v>88</v>
      </c>
      <c r="C13" s="793"/>
      <c r="D13" s="793"/>
      <c r="E13" s="793"/>
      <c r="F13" s="793"/>
      <c r="G13" s="793"/>
      <c r="H13" s="793"/>
      <c r="I13" s="793"/>
      <c r="J13" s="793">
        <f>+F13+I13</f>
        <v>0</v>
      </c>
      <c r="K13" s="880"/>
    </row>
    <row r="14" spans="1:13" s="419" customFormat="1" ht="31.5" customHeight="1">
      <c r="A14" s="324">
        <v>9</v>
      </c>
      <c r="B14" s="317" t="str">
        <f>+J2</f>
        <v>2022  оны  12  сарын 31 өдөр</v>
      </c>
      <c r="C14" s="792">
        <f t="shared" ref="C14:H14" si="2">SUM(C8:C13)</f>
        <v>780112500</v>
      </c>
      <c r="D14" s="792">
        <f t="shared" si="2"/>
        <v>0</v>
      </c>
      <c r="E14" s="792">
        <f t="shared" si="2"/>
        <v>0</v>
      </c>
      <c r="F14" s="792">
        <f>+F8+F13-F9</f>
        <v>48870400577.309998</v>
      </c>
      <c r="G14" s="792">
        <f t="shared" si="2"/>
        <v>0</v>
      </c>
      <c r="H14" s="792">
        <f t="shared" si="2"/>
        <v>0</v>
      </c>
      <c r="I14" s="792">
        <f>SUM(I8:I13)</f>
        <v>-71313914092.971115</v>
      </c>
      <c r="J14" s="792">
        <f>SUM(J8:J13)</f>
        <v>-21663401015.661118</v>
      </c>
    </row>
    <row r="15" spans="1:13" s="870" customFormat="1">
      <c r="A15" s="866"/>
      <c r="B15" s="867"/>
      <c r="C15" s="868">
        <f>+C14-'NEGTGESEN BALANC'!L59</f>
        <v>-293.59999847412109</v>
      </c>
      <c r="D15" s="868"/>
      <c r="E15" s="868"/>
      <c r="F15" s="868">
        <f>+F14-'NEGTGESEN BALANC'!L62</f>
        <v>4301861000</v>
      </c>
      <c r="G15" s="868"/>
      <c r="H15" s="868"/>
      <c r="I15" s="869">
        <f>+I14-'NEGTGESEN BALANC'!L65</f>
        <v>-5304765000.0141907</v>
      </c>
      <c r="J15" s="868">
        <f>+'NEGTGESEN BALANC'!L67-0</f>
        <v>-32096506567.022617</v>
      </c>
      <c r="K15" s="881"/>
      <c r="L15" s="881"/>
      <c r="M15" s="881"/>
    </row>
    <row r="16" spans="1:13" s="871" customFormat="1">
      <c r="J16" s="872">
        <f>+J15-J14</f>
        <v>-10433105551.3615</v>
      </c>
      <c r="K16" s="882"/>
      <c r="L16" s="882"/>
      <c r="M16" s="882"/>
    </row>
    <row r="17" spans="3:3">
      <c r="C17" s="416" t="str">
        <f>+'cash flow'!B60</f>
        <v xml:space="preserve">                                       Гүйцэтгэх  Захирал:                                   ________________                /Ц.Баатарсайхан/</v>
      </c>
    </row>
    <row r="19" spans="3:3">
      <c r="C19" s="416" t="str">
        <f>+'cash flow'!B62</f>
        <v xml:space="preserve">                                       Санхүү бүртгэл хариуцсан захирал:        ________________               /Д.Содгэрэл/</v>
      </c>
    </row>
  </sheetData>
  <mergeCells count="1">
    <mergeCell ref="A1:J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P553"/>
  <sheetViews>
    <sheetView topLeftCell="A337" workbookViewId="0">
      <selection activeCell="F353" sqref="F353"/>
    </sheetView>
  </sheetViews>
  <sheetFormatPr defaultRowHeight="13.2"/>
  <cols>
    <col min="3" max="3" width="33.21875" customWidth="1"/>
    <col min="4" max="21" width="17.5546875" customWidth="1"/>
    <col min="259" max="259" width="33.21875" customWidth="1"/>
    <col min="260" max="277" width="17.5546875" customWidth="1"/>
    <col min="515" max="515" width="33.21875" customWidth="1"/>
    <col min="516" max="533" width="17.5546875" customWidth="1"/>
    <col min="771" max="771" width="33.21875" customWidth="1"/>
    <col min="772" max="789" width="17.5546875" customWidth="1"/>
    <col min="1027" max="1027" width="33.21875" customWidth="1"/>
    <col min="1028" max="1045" width="17.5546875" customWidth="1"/>
    <col min="1283" max="1283" width="33.21875" customWidth="1"/>
    <col min="1284" max="1301" width="17.5546875" customWidth="1"/>
    <col min="1539" max="1539" width="33.21875" customWidth="1"/>
    <col min="1540" max="1557" width="17.5546875" customWidth="1"/>
    <col min="1795" max="1795" width="33.21875" customWidth="1"/>
    <col min="1796" max="1813" width="17.5546875" customWidth="1"/>
    <col min="2051" max="2051" width="33.21875" customWidth="1"/>
    <col min="2052" max="2069" width="17.5546875" customWidth="1"/>
    <col min="2307" max="2307" width="33.21875" customWidth="1"/>
    <col min="2308" max="2325" width="17.5546875" customWidth="1"/>
    <col min="2563" max="2563" width="33.21875" customWidth="1"/>
    <col min="2564" max="2581" width="17.5546875" customWidth="1"/>
    <col min="2819" max="2819" width="33.21875" customWidth="1"/>
    <col min="2820" max="2837" width="17.5546875" customWidth="1"/>
    <col min="3075" max="3075" width="33.21875" customWidth="1"/>
    <col min="3076" max="3093" width="17.5546875" customWidth="1"/>
    <col min="3331" max="3331" width="33.21875" customWidth="1"/>
    <col min="3332" max="3349" width="17.5546875" customWidth="1"/>
    <col min="3587" max="3587" width="33.21875" customWidth="1"/>
    <col min="3588" max="3605" width="17.5546875" customWidth="1"/>
    <col min="3843" max="3843" width="33.21875" customWidth="1"/>
    <col min="3844" max="3861" width="17.5546875" customWidth="1"/>
    <col min="4099" max="4099" width="33.21875" customWidth="1"/>
    <col min="4100" max="4117" width="17.5546875" customWidth="1"/>
    <col min="4355" max="4355" width="33.21875" customWidth="1"/>
    <col min="4356" max="4373" width="17.5546875" customWidth="1"/>
    <col min="4611" max="4611" width="33.21875" customWidth="1"/>
    <col min="4612" max="4629" width="17.5546875" customWidth="1"/>
    <col min="4867" max="4867" width="33.21875" customWidth="1"/>
    <col min="4868" max="4885" width="17.5546875" customWidth="1"/>
    <col min="5123" max="5123" width="33.21875" customWidth="1"/>
    <col min="5124" max="5141" width="17.5546875" customWidth="1"/>
    <col min="5379" max="5379" width="33.21875" customWidth="1"/>
    <col min="5380" max="5397" width="17.5546875" customWidth="1"/>
    <col min="5635" max="5635" width="33.21875" customWidth="1"/>
    <col min="5636" max="5653" width="17.5546875" customWidth="1"/>
    <col min="5891" max="5891" width="33.21875" customWidth="1"/>
    <col min="5892" max="5909" width="17.5546875" customWidth="1"/>
    <col min="6147" max="6147" width="33.21875" customWidth="1"/>
    <col min="6148" max="6165" width="17.5546875" customWidth="1"/>
    <col min="6403" max="6403" width="33.21875" customWidth="1"/>
    <col min="6404" max="6421" width="17.5546875" customWidth="1"/>
    <col min="6659" max="6659" width="33.21875" customWidth="1"/>
    <col min="6660" max="6677" width="17.5546875" customWidth="1"/>
    <col min="6915" max="6915" width="33.21875" customWidth="1"/>
    <col min="6916" max="6933" width="17.5546875" customWidth="1"/>
    <col min="7171" max="7171" width="33.21875" customWidth="1"/>
    <col min="7172" max="7189" width="17.5546875" customWidth="1"/>
    <col min="7427" max="7427" width="33.21875" customWidth="1"/>
    <col min="7428" max="7445" width="17.5546875" customWidth="1"/>
    <col min="7683" max="7683" width="33.21875" customWidth="1"/>
    <col min="7684" max="7701" width="17.5546875" customWidth="1"/>
    <col min="7939" max="7939" width="33.21875" customWidth="1"/>
    <col min="7940" max="7957" width="17.5546875" customWidth="1"/>
    <col min="8195" max="8195" width="33.21875" customWidth="1"/>
    <col min="8196" max="8213" width="17.5546875" customWidth="1"/>
    <col min="8451" max="8451" width="33.21875" customWidth="1"/>
    <col min="8452" max="8469" width="17.5546875" customWidth="1"/>
    <col min="8707" max="8707" width="33.21875" customWidth="1"/>
    <col min="8708" max="8725" width="17.5546875" customWidth="1"/>
    <col min="8963" max="8963" width="33.21875" customWidth="1"/>
    <col min="8964" max="8981" width="17.5546875" customWidth="1"/>
    <col min="9219" max="9219" width="33.21875" customWidth="1"/>
    <col min="9220" max="9237" width="17.5546875" customWidth="1"/>
    <col min="9475" max="9475" width="33.21875" customWidth="1"/>
    <col min="9476" max="9493" width="17.5546875" customWidth="1"/>
    <col min="9731" max="9731" width="33.21875" customWidth="1"/>
    <col min="9732" max="9749" width="17.5546875" customWidth="1"/>
    <col min="9987" max="9987" width="33.21875" customWidth="1"/>
    <col min="9988" max="10005" width="17.5546875" customWidth="1"/>
    <col min="10243" max="10243" width="33.21875" customWidth="1"/>
    <col min="10244" max="10261" width="17.5546875" customWidth="1"/>
    <col min="10499" max="10499" width="33.21875" customWidth="1"/>
    <col min="10500" max="10517" width="17.5546875" customWidth="1"/>
    <col min="10755" max="10755" width="33.21875" customWidth="1"/>
    <col min="10756" max="10773" width="17.5546875" customWidth="1"/>
    <col min="11011" max="11011" width="33.21875" customWidth="1"/>
    <col min="11012" max="11029" width="17.5546875" customWidth="1"/>
    <col min="11267" max="11267" width="33.21875" customWidth="1"/>
    <col min="11268" max="11285" width="17.5546875" customWidth="1"/>
    <col min="11523" max="11523" width="33.21875" customWidth="1"/>
    <col min="11524" max="11541" width="17.5546875" customWidth="1"/>
    <col min="11779" max="11779" width="33.21875" customWidth="1"/>
    <col min="11780" max="11797" width="17.5546875" customWidth="1"/>
    <col min="12035" max="12035" width="33.21875" customWidth="1"/>
    <col min="12036" max="12053" width="17.5546875" customWidth="1"/>
    <col min="12291" max="12291" width="33.21875" customWidth="1"/>
    <col min="12292" max="12309" width="17.5546875" customWidth="1"/>
    <col min="12547" max="12547" width="33.21875" customWidth="1"/>
    <col min="12548" max="12565" width="17.5546875" customWidth="1"/>
    <col min="12803" max="12803" width="33.21875" customWidth="1"/>
    <col min="12804" max="12821" width="17.5546875" customWidth="1"/>
    <col min="13059" max="13059" width="33.21875" customWidth="1"/>
    <col min="13060" max="13077" width="17.5546875" customWidth="1"/>
    <col min="13315" max="13315" width="33.21875" customWidth="1"/>
    <col min="13316" max="13333" width="17.5546875" customWidth="1"/>
    <col min="13571" max="13571" width="33.21875" customWidth="1"/>
    <col min="13572" max="13589" width="17.5546875" customWidth="1"/>
    <col min="13827" max="13827" width="33.21875" customWidth="1"/>
    <col min="13828" max="13845" width="17.5546875" customWidth="1"/>
    <col min="14083" max="14083" width="33.21875" customWidth="1"/>
    <col min="14084" max="14101" width="17.5546875" customWidth="1"/>
    <col min="14339" max="14339" width="33.21875" customWidth="1"/>
    <col min="14340" max="14357" width="17.5546875" customWidth="1"/>
    <col min="14595" max="14595" width="33.21875" customWidth="1"/>
    <col min="14596" max="14613" width="17.5546875" customWidth="1"/>
    <col min="14851" max="14851" width="33.21875" customWidth="1"/>
    <col min="14852" max="14869" width="17.5546875" customWidth="1"/>
    <col min="15107" max="15107" width="33.21875" customWidth="1"/>
    <col min="15108" max="15125" width="17.5546875" customWidth="1"/>
    <col min="15363" max="15363" width="33.21875" customWidth="1"/>
    <col min="15364" max="15381" width="17.5546875" customWidth="1"/>
    <col min="15619" max="15619" width="33.21875" customWidth="1"/>
    <col min="15620" max="15637" width="17.5546875" customWidth="1"/>
    <col min="15875" max="15875" width="33.21875" customWidth="1"/>
    <col min="15876" max="15893" width="17.5546875" customWidth="1"/>
    <col min="16131" max="16131" width="33.21875" customWidth="1"/>
    <col min="16132" max="16149" width="17.5546875" customWidth="1"/>
  </cols>
  <sheetData>
    <row r="1" spans="1:120">
      <c r="A1" s="883" t="s">
        <v>1199</v>
      </c>
      <c r="E1">
        <f>+E25</f>
        <v>0</v>
      </c>
    </row>
    <row r="2" spans="1:120">
      <c r="A2" s="883" t="s">
        <v>1200</v>
      </c>
    </row>
    <row r="3" spans="1:120">
      <c r="B3" s="896" t="s">
        <v>1202</v>
      </c>
    </row>
    <row r="4" spans="1:120">
      <c r="E4" s="884" t="s">
        <v>1203</v>
      </c>
    </row>
    <row r="5" spans="1:120">
      <c r="B5" s="885" t="s">
        <v>79</v>
      </c>
      <c r="C5" s="885" t="s">
        <v>5</v>
      </c>
      <c r="D5" s="885" t="s">
        <v>194</v>
      </c>
      <c r="E5" s="885" t="s">
        <v>195</v>
      </c>
    </row>
    <row r="6" spans="1:120">
      <c r="B6" s="886" t="s">
        <v>947</v>
      </c>
      <c r="C6" s="886" t="s">
        <v>196</v>
      </c>
      <c r="D6" s="887">
        <v>19481.7</v>
      </c>
      <c r="E6" s="887" t="e">
        <f>+#REF!/1000</f>
        <v>#REF!</v>
      </c>
    </row>
    <row r="7" spans="1:120">
      <c r="B7" s="886" t="s">
        <v>950</v>
      </c>
      <c r="C7" s="886" t="s">
        <v>197</v>
      </c>
      <c r="D7" s="887">
        <v>7301912.5999999996</v>
      </c>
      <c r="E7" s="887" t="e">
        <f>+#REF!/1000</f>
        <v>#REF!</v>
      </c>
    </row>
    <row r="8" spans="1:120">
      <c r="B8" s="886" t="s">
        <v>961</v>
      </c>
      <c r="C8" s="886" t="s">
        <v>528</v>
      </c>
      <c r="D8" s="887">
        <v>0</v>
      </c>
      <c r="E8" s="887">
        <v>0</v>
      </c>
    </row>
    <row r="9" spans="1:120">
      <c r="B9" s="886" t="s">
        <v>962</v>
      </c>
      <c r="C9" s="888" t="s">
        <v>82</v>
      </c>
      <c r="D9" s="887">
        <v>7321394.2999999998</v>
      </c>
      <c r="E9" s="887" t="e">
        <f>+E6+E7</f>
        <v>#REF!</v>
      </c>
    </row>
    <row r="10" spans="1:120">
      <c r="B10" s="883" t="s">
        <v>1204</v>
      </c>
      <c r="E10" s="71" t="e">
        <f>+E9-balance!D9/1000</f>
        <v>#REF!</v>
      </c>
    </row>
    <row r="11" spans="1:120">
      <c r="B11" s="884" t="s">
        <v>1201</v>
      </c>
    </row>
    <row r="12" spans="1:120">
      <c r="A12" t="s">
        <v>1201</v>
      </c>
      <c r="B12" t="s">
        <v>1201</v>
      </c>
      <c r="C12" t="s">
        <v>1201</v>
      </c>
      <c r="D12" t="s">
        <v>1201</v>
      </c>
      <c r="BP12" s="983"/>
      <c r="BQ12" s="983"/>
      <c r="BR12" s="983"/>
      <c r="BS12" s="983"/>
      <c r="BT12" s="983"/>
      <c r="BU12" s="983"/>
      <c r="BV12" s="983"/>
      <c r="BW12" s="983"/>
      <c r="BX12" s="983"/>
      <c r="BY12" s="983"/>
      <c r="BZ12" s="983"/>
      <c r="CA12" s="983"/>
      <c r="CB12" s="983"/>
      <c r="CC12" s="983"/>
      <c r="CD12" s="983"/>
      <c r="CE12" s="983"/>
      <c r="CF12" s="983"/>
      <c r="CG12" s="983"/>
      <c r="CH12" s="983"/>
      <c r="CI12" s="983"/>
      <c r="CJ12" s="983"/>
      <c r="CK12" s="983"/>
      <c r="CL12" s="983"/>
      <c r="CM12" s="983"/>
      <c r="CN12" s="983"/>
      <c r="CO12" s="983"/>
      <c r="CP12" s="983"/>
      <c r="CQ12" s="983"/>
      <c r="CR12" s="983"/>
      <c r="CS12" s="983"/>
      <c r="CT12" s="983"/>
      <c r="CU12" s="983"/>
      <c r="CV12" s="983"/>
      <c r="CW12" s="983"/>
      <c r="CX12" s="983"/>
      <c r="CY12" s="983"/>
      <c r="CZ12" s="983"/>
      <c r="DA12" s="983"/>
      <c r="DB12" s="983"/>
      <c r="DC12" s="983"/>
      <c r="DD12" s="983"/>
      <c r="DE12" s="983"/>
      <c r="DF12" s="983"/>
      <c r="DG12" s="983"/>
      <c r="DH12" s="983"/>
      <c r="DI12" s="983"/>
      <c r="DJ12" s="983"/>
      <c r="DK12" s="983"/>
      <c r="DL12" s="983"/>
      <c r="DM12" s="983"/>
      <c r="DN12" s="983"/>
      <c r="DO12" s="983"/>
      <c r="DP12" s="983"/>
    </row>
    <row r="13" spans="1:120" ht="39.6">
      <c r="E13" s="884" t="s">
        <v>1411</v>
      </c>
    </row>
    <row r="14" spans="1:120" ht="39.6">
      <c r="E14" s="884" t="s">
        <v>1412</v>
      </c>
    </row>
    <row r="15" spans="1:120">
      <c r="A15" s="883" t="s">
        <v>1200</v>
      </c>
    </row>
    <row r="16" spans="1:120">
      <c r="B16" s="883" t="s">
        <v>1205</v>
      </c>
    </row>
    <row r="17" spans="1:120">
      <c r="F17" s="884" t="s">
        <v>1203</v>
      </c>
    </row>
    <row r="18" spans="1:120" ht="39.6">
      <c r="B18" s="885" t="s">
        <v>79</v>
      </c>
      <c r="C18" s="885" t="s">
        <v>5</v>
      </c>
      <c r="D18" s="885" t="s">
        <v>9</v>
      </c>
      <c r="E18" s="885" t="s">
        <v>204</v>
      </c>
      <c r="F18" s="885" t="s">
        <v>205</v>
      </c>
    </row>
    <row r="19" spans="1:120">
      <c r="B19" s="886" t="s">
        <v>947</v>
      </c>
      <c r="C19" s="886" t="s">
        <v>194</v>
      </c>
      <c r="D19" s="887">
        <v>8560773.5999999996</v>
      </c>
      <c r="E19" s="887">
        <v>831732.2</v>
      </c>
      <c r="F19" s="887">
        <f>+D19-E19</f>
        <v>7729041.3999999994</v>
      </c>
      <c r="G19" s="889"/>
      <c r="H19" s="889"/>
    </row>
    <row r="20" spans="1:120">
      <c r="B20" s="886" t="s">
        <v>1206</v>
      </c>
      <c r="C20" s="886" t="s">
        <v>206</v>
      </c>
      <c r="D20" s="887">
        <f>44798046.42405+831732.2-173105.55</f>
        <v>45456673.074050009</v>
      </c>
      <c r="E20" s="887">
        <v>851271.89916999999</v>
      </c>
      <c r="F20" s="887">
        <f>+D20-E20</f>
        <v>44605401.174880013</v>
      </c>
    </row>
    <row r="21" spans="1:120">
      <c r="B21" s="886" t="s">
        <v>961</v>
      </c>
      <c r="C21" s="886" t="s">
        <v>1207</v>
      </c>
      <c r="D21" s="887">
        <f>+D22</f>
        <v>50638457.176150002</v>
      </c>
      <c r="E21" s="887">
        <v>9036.7999999999993</v>
      </c>
      <c r="F21" s="887">
        <f>+D21-E21</f>
        <v>50629420.376150005</v>
      </c>
    </row>
    <row r="22" spans="1:120">
      <c r="B22" s="886" t="s">
        <v>1208</v>
      </c>
      <c r="C22" s="886" t="s">
        <v>1209</v>
      </c>
      <c r="D22" s="887">
        <v>50638457.176150002</v>
      </c>
      <c r="E22" s="887">
        <f>+'[3]IS GOBI 3b'!$AX$97/1000</f>
        <v>9036.7999999999993</v>
      </c>
      <c r="F22" s="887">
        <f>+D22-E22</f>
        <v>50629420.376150005</v>
      </c>
    </row>
    <row r="23" spans="1:120">
      <c r="B23" s="886" t="s">
        <v>1210</v>
      </c>
      <c r="C23" s="886" t="s">
        <v>1211</v>
      </c>
      <c r="D23" s="887">
        <v>0</v>
      </c>
      <c r="E23" s="887">
        <v>0</v>
      </c>
      <c r="F23" s="887">
        <v>0</v>
      </c>
    </row>
    <row r="24" spans="1:120">
      <c r="B24" s="886" t="s">
        <v>962</v>
      </c>
      <c r="C24" s="886" t="s">
        <v>195</v>
      </c>
      <c r="D24" s="902">
        <f>+D19+D20-D22</f>
        <v>3378989.4979000092</v>
      </c>
      <c r="E24" s="902">
        <f>+E19+E20-E22</f>
        <v>1673967.2991699998</v>
      </c>
      <c r="F24" s="902">
        <f>+F19+F20-F22</f>
        <v>1705022.1987300068</v>
      </c>
      <c r="G24" s="283">
        <f>+[4]Gobi!$M$17/1000</f>
        <v>1705022.1927</v>
      </c>
      <c r="H24" s="899"/>
    </row>
    <row r="25" spans="1:120">
      <c r="A25" t="s">
        <v>1201</v>
      </c>
      <c r="B25" t="s">
        <v>1201</v>
      </c>
      <c r="C25" t="s">
        <v>1201</v>
      </c>
      <c r="D25" t="s">
        <v>1201</v>
      </c>
      <c r="E25" s="283"/>
      <c r="F25" s="71"/>
      <c r="G25" s="895"/>
      <c r="BP25" s="983"/>
      <c r="BQ25" s="983"/>
      <c r="BR25" s="983"/>
      <c r="BS25" s="983"/>
      <c r="BT25" s="983"/>
      <c r="BU25" s="983"/>
      <c r="BV25" s="983"/>
      <c r="BW25" s="983"/>
      <c r="BX25" s="983"/>
      <c r="BY25" s="983"/>
      <c r="BZ25" s="983"/>
      <c r="CA25" s="983"/>
      <c r="CB25" s="983"/>
      <c r="CC25" s="983"/>
      <c r="CD25" s="983"/>
      <c r="CE25" s="983"/>
      <c r="CF25" s="983"/>
      <c r="CG25" s="983"/>
      <c r="CH25" s="983"/>
      <c r="CI25" s="983"/>
      <c r="CJ25" s="983"/>
      <c r="CK25" s="983"/>
      <c r="CL25" s="983"/>
      <c r="CM25" s="983"/>
      <c r="CN25" s="983"/>
      <c r="CO25" s="983"/>
      <c r="CP25" s="983"/>
      <c r="CQ25" s="983"/>
      <c r="CR25" s="983"/>
      <c r="CS25" s="983"/>
      <c r="CT25" s="983"/>
      <c r="CU25" s="983"/>
      <c r="CV25" s="983"/>
      <c r="CW25" s="983"/>
      <c r="CX25" s="983"/>
      <c r="CY25" s="983"/>
      <c r="CZ25" s="983"/>
      <c r="DA25" s="983"/>
      <c r="DB25" s="983"/>
      <c r="DC25" s="983"/>
      <c r="DD25" s="983"/>
      <c r="DE25" s="983"/>
      <c r="DF25" s="983"/>
      <c r="DG25" s="983"/>
      <c r="DH25" s="983"/>
      <c r="DI25" s="983"/>
      <c r="DJ25" s="983"/>
      <c r="DK25" s="983"/>
      <c r="DL25" s="983"/>
      <c r="DM25" s="983"/>
      <c r="DN25" s="983"/>
      <c r="DO25" s="983"/>
      <c r="DP25" s="983"/>
    </row>
    <row r="26" spans="1:120" ht="39.6">
      <c r="E26" s="884" t="s">
        <v>1411</v>
      </c>
      <c r="F26" s="71"/>
    </row>
    <row r="27" spans="1:120" ht="39.6">
      <c r="E27" s="884" t="s">
        <v>1412</v>
      </c>
    </row>
    <row r="28" spans="1:120">
      <c r="A28" s="883" t="s">
        <v>1200</v>
      </c>
    </row>
    <row r="29" spans="1:120">
      <c r="B29" s="896" t="s">
        <v>1212</v>
      </c>
    </row>
    <row r="30" spans="1:120">
      <c r="E30" s="884" t="s">
        <v>1203</v>
      </c>
    </row>
    <row r="31" spans="1:120">
      <c r="B31" s="885" t="s">
        <v>79</v>
      </c>
      <c r="C31" s="885" t="s">
        <v>5</v>
      </c>
      <c r="D31" s="885" t="s">
        <v>195</v>
      </c>
      <c r="E31" s="885" t="s">
        <v>195</v>
      </c>
    </row>
    <row r="32" spans="1:120">
      <c r="B32" s="886" t="s">
        <v>947</v>
      </c>
      <c r="C32" s="886" t="s">
        <v>211</v>
      </c>
      <c r="D32" s="887">
        <v>266631.7</v>
      </c>
      <c r="E32" s="887" t="e">
        <f>+#REF!/1000</f>
        <v>#REF!</v>
      </c>
    </row>
    <row r="33" spans="1:120">
      <c r="B33" s="886" t="s">
        <v>950</v>
      </c>
      <c r="C33" s="886" t="s">
        <v>212</v>
      </c>
      <c r="D33" s="887">
        <v>350316.1</v>
      </c>
      <c r="E33" s="887" t="e">
        <f>+#REF!/1000</f>
        <v>#REF!</v>
      </c>
    </row>
    <row r="34" spans="1:120">
      <c r="B34" s="886" t="s">
        <v>961</v>
      </c>
      <c r="C34" s="886" t="s">
        <v>213</v>
      </c>
      <c r="D34" s="887">
        <v>239154</v>
      </c>
      <c r="E34" s="887" t="e">
        <f>+#REF!/1000</f>
        <v>#REF!</v>
      </c>
    </row>
    <row r="35" spans="1:120">
      <c r="B35" s="886" t="s">
        <v>962</v>
      </c>
      <c r="C35" s="886" t="s">
        <v>231</v>
      </c>
      <c r="D35" s="887">
        <v>0</v>
      </c>
      <c r="E35" s="887">
        <v>0</v>
      </c>
    </row>
    <row r="36" spans="1:120">
      <c r="B36" s="886" t="s">
        <v>1201</v>
      </c>
      <c r="C36" s="888" t="s">
        <v>82</v>
      </c>
      <c r="D36" s="887">
        <v>856101.8</v>
      </c>
      <c r="E36" s="887" t="e">
        <f>SUM(E32:E35)</f>
        <v>#REF!</v>
      </c>
      <c r="F36" s="892" t="e">
        <f>+E36-balance!D11/1000</f>
        <v>#REF!</v>
      </c>
    </row>
    <row r="37" spans="1:120">
      <c r="A37" t="s">
        <v>1201</v>
      </c>
      <c r="B37" t="s">
        <v>1201</v>
      </c>
      <c r="C37" t="s">
        <v>1201</v>
      </c>
      <c r="D37" t="s">
        <v>1201</v>
      </c>
      <c r="BP37" s="983"/>
      <c r="BQ37" s="983"/>
      <c r="BR37" s="983"/>
      <c r="BS37" s="983"/>
      <c r="BT37" s="983"/>
      <c r="BU37" s="983"/>
      <c r="BV37" s="983"/>
      <c r="BW37" s="983"/>
      <c r="BX37" s="983"/>
      <c r="BY37" s="983"/>
      <c r="BZ37" s="983"/>
      <c r="CA37" s="983"/>
      <c r="CB37" s="983"/>
      <c r="CC37" s="983"/>
      <c r="CD37" s="983"/>
      <c r="CE37" s="983"/>
      <c r="CF37" s="983"/>
      <c r="CG37" s="983"/>
      <c r="CH37" s="983"/>
      <c r="CI37" s="983"/>
      <c r="CJ37" s="983"/>
      <c r="CK37" s="983"/>
      <c r="CL37" s="983"/>
      <c r="CM37" s="983"/>
      <c r="CN37" s="983"/>
      <c r="CO37" s="983"/>
      <c r="CP37" s="983"/>
      <c r="CQ37" s="983"/>
      <c r="CR37" s="983"/>
      <c r="CS37" s="983"/>
      <c r="CT37" s="983"/>
      <c r="CU37" s="983"/>
      <c r="CV37" s="983"/>
      <c r="CW37" s="983"/>
      <c r="CX37" s="983"/>
      <c r="CY37" s="983"/>
      <c r="CZ37" s="983"/>
      <c r="DA37" s="983"/>
      <c r="DB37" s="983"/>
      <c r="DC37" s="983"/>
      <c r="DD37" s="983"/>
      <c r="DE37" s="983"/>
      <c r="DF37" s="983"/>
      <c r="DG37" s="983"/>
      <c r="DH37" s="983"/>
      <c r="DI37" s="983"/>
      <c r="DJ37" s="983"/>
      <c r="DK37" s="983"/>
      <c r="DL37" s="983"/>
      <c r="DM37" s="983"/>
      <c r="DN37" s="983"/>
      <c r="DO37" s="983"/>
      <c r="DP37" s="983"/>
    </row>
    <row r="38" spans="1:120" ht="39.6">
      <c r="E38" s="884" t="s">
        <v>1411</v>
      </c>
    </row>
    <row r="39" spans="1:120" ht="39.6">
      <c r="E39" s="884" t="s">
        <v>1412</v>
      </c>
    </row>
    <row r="40" spans="1:120">
      <c r="A40" s="883" t="s">
        <v>1200</v>
      </c>
    </row>
    <row r="41" spans="1:120">
      <c r="B41" s="896" t="s">
        <v>1213</v>
      </c>
    </row>
    <row r="42" spans="1:120">
      <c r="E42" s="884" t="s">
        <v>1203</v>
      </c>
    </row>
    <row r="43" spans="1:120">
      <c r="B43" s="885" t="s">
        <v>79</v>
      </c>
      <c r="C43" s="885" t="s">
        <v>5</v>
      </c>
      <c r="D43" s="885" t="s">
        <v>195</v>
      </c>
      <c r="E43" s="885" t="s">
        <v>195</v>
      </c>
    </row>
    <row r="44" spans="1:120" ht="26.4">
      <c r="B44" s="886" t="s">
        <v>947</v>
      </c>
      <c r="C44" s="886" t="s">
        <v>1214</v>
      </c>
      <c r="D44" s="887">
        <v>500</v>
      </c>
      <c r="E44" s="887" t="e">
        <f>+#REF!/1000</f>
        <v>#REF!</v>
      </c>
    </row>
    <row r="45" spans="1:120">
      <c r="B45" s="886" t="s">
        <v>950</v>
      </c>
      <c r="C45" s="886" t="s">
        <v>1215</v>
      </c>
      <c r="D45" s="887">
        <v>0</v>
      </c>
      <c r="E45" s="887">
        <v>0</v>
      </c>
    </row>
    <row r="46" spans="1:120">
      <c r="B46" s="886" t="s">
        <v>961</v>
      </c>
      <c r="C46" s="886" t="s">
        <v>1216</v>
      </c>
      <c r="D46" s="887">
        <v>0</v>
      </c>
      <c r="E46" s="887">
        <v>0</v>
      </c>
    </row>
    <row r="47" spans="1:120">
      <c r="B47" s="886" t="s">
        <v>962</v>
      </c>
      <c r="C47" s="886" t="s">
        <v>219</v>
      </c>
      <c r="D47" s="887">
        <v>0</v>
      </c>
      <c r="E47" s="887">
        <v>0</v>
      </c>
    </row>
    <row r="48" spans="1:120">
      <c r="B48" s="886" t="s">
        <v>962</v>
      </c>
      <c r="C48" s="886" t="s">
        <v>1217</v>
      </c>
      <c r="D48" s="887">
        <v>0</v>
      </c>
      <c r="E48" s="887">
        <v>0</v>
      </c>
    </row>
    <row r="49" spans="1:120">
      <c r="B49" s="886" t="s">
        <v>962</v>
      </c>
      <c r="C49" s="886" t="s">
        <v>220</v>
      </c>
      <c r="D49" s="887">
        <v>640432</v>
      </c>
      <c r="E49" s="887" t="e">
        <f>+#REF!/1000</f>
        <v>#REF!</v>
      </c>
    </row>
    <row r="50" spans="1:120">
      <c r="B50" s="886" t="s">
        <v>962</v>
      </c>
      <c r="C50" s="886" t="s">
        <v>1218</v>
      </c>
      <c r="D50" s="887">
        <v>25301421.100000001</v>
      </c>
      <c r="E50" s="887" t="e">
        <f>+#REF!/1000</f>
        <v>#REF!</v>
      </c>
    </row>
    <row r="51" spans="1:120">
      <c r="B51" s="886" t="s">
        <v>962</v>
      </c>
      <c r="C51" s="888" t="s">
        <v>82</v>
      </c>
      <c r="D51" s="887">
        <f>SUM(D44:D50)</f>
        <v>25942353.100000001</v>
      </c>
      <c r="E51" s="887" t="e">
        <f>SUM(E44:E50)</f>
        <v>#REF!</v>
      </c>
      <c r="F51" s="892" t="e">
        <f>+E51-balance!D12/1000</f>
        <v>#REF!</v>
      </c>
    </row>
    <row r="52" spans="1:120">
      <c r="B52" s="883" t="s">
        <v>1204</v>
      </c>
    </row>
    <row r="53" spans="1:120">
      <c r="B53" s="884" t="s">
        <v>1201</v>
      </c>
    </row>
    <row r="54" spans="1:120">
      <c r="A54" t="s">
        <v>1201</v>
      </c>
      <c r="B54" t="s">
        <v>1201</v>
      </c>
      <c r="C54" t="s">
        <v>1201</v>
      </c>
      <c r="D54" t="s">
        <v>1201</v>
      </c>
      <c r="BP54" s="983"/>
      <c r="BQ54" s="983"/>
      <c r="BR54" s="983"/>
      <c r="BS54" s="983"/>
      <c r="BT54" s="983"/>
      <c r="BU54" s="983"/>
      <c r="BV54" s="983"/>
      <c r="BW54" s="983"/>
      <c r="BX54" s="983"/>
      <c r="BY54" s="983"/>
      <c r="BZ54" s="983"/>
      <c r="CA54" s="983"/>
      <c r="CB54" s="983"/>
      <c r="CC54" s="983"/>
      <c r="CD54" s="983"/>
      <c r="CE54" s="983"/>
      <c r="CF54" s="983"/>
      <c r="CG54" s="983"/>
      <c r="CH54" s="983"/>
      <c r="CI54" s="983"/>
      <c r="CJ54" s="983"/>
      <c r="CK54" s="983"/>
      <c r="CL54" s="983"/>
      <c r="CM54" s="983"/>
      <c r="CN54" s="983"/>
      <c r="CO54" s="983"/>
      <c r="CP54" s="983"/>
      <c r="CQ54" s="983"/>
      <c r="CR54" s="983"/>
      <c r="CS54" s="983"/>
      <c r="CT54" s="983"/>
      <c r="CU54" s="983"/>
      <c r="CV54" s="983"/>
      <c r="CW54" s="983"/>
      <c r="CX54" s="983"/>
      <c r="CY54" s="983"/>
      <c r="CZ54" s="983"/>
      <c r="DA54" s="983"/>
      <c r="DB54" s="983"/>
      <c r="DC54" s="983"/>
      <c r="DD54" s="983"/>
      <c r="DE54" s="983"/>
      <c r="DF54" s="983"/>
      <c r="DG54" s="983"/>
      <c r="DH54" s="983"/>
      <c r="DI54" s="983"/>
      <c r="DJ54" s="983"/>
      <c r="DK54" s="983"/>
      <c r="DL54" s="983"/>
      <c r="DM54" s="983"/>
      <c r="DN54" s="983"/>
      <c r="DO54" s="983"/>
      <c r="DP54" s="983"/>
    </row>
    <row r="55" spans="1:120" ht="39.6">
      <c r="E55" s="884" t="s">
        <v>1411</v>
      </c>
    </row>
    <row r="56" spans="1:120" ht="39.6">
      <c r="E56" s="884" t="s">
        <v>1412</v>
      </c>
    </row>
    <row r="57" spans="1:120">
      <c r="A57" s="883" t="s">
        <v>1200</v>
      </c>
    </row>
    <row r="58" spans="1:120">
      <c r="B58" s="883" t="s">
        <v>1219</v>
      </c>
    </row>
    <row r="59" spans="1:120">
      <c r="E59" s="884" t="s">
        <v>1203</v>
      </c>
    </row>
    <row r="60" spans="1:120">
      <c r="B60" s="885" t="s">
        <v>79</v>
      </c>
      <c r="C60" s="885" t="s">
        <v>5</v>
      </c>
      <c r="D60" s="885" t="s">
        <v>195</v>
      </c>
      <c r="E60" s="885" t="s">
        <v>195</v>
      </c>
    </row>
    <row r="61" spans="1:120">
      <c r="B61" s="886" t="s">
        <v>1220</v>
      </c>
      <c r="C61" s="886"/>
      <c r="D61" s="887">
        <v>0</v>
      </c>
      <c r="E61" s="887">
        <v>0</v>
      </c>
    </row>
    <row r="62" spans="1:120">
      <c r="B62" s="886" t="s">
        <v>1201</v>
      </c>
      <c r="C62" s="888" t="s">
        <v>82</v>
      </c>
      <c r="D62" s="887">
        <v>0</v>
      </c>
      <c r="E62" s="887">
        <v>0</v>
      </c>
    </row>
    <row r="63" spans="1:120">
      <c r="A63" t="s">
        <v>1201</v>
      </c>
      <c r="B63" t="s">
        <v>1201</v>
      </c>
      <c r="C63" t="s">
        <v>1201</v>
      </c>
      <c r="D63" t="s">
        <v>1201</v>
      </c>
      <c r="BP63" s="983"/>
      <c r="BQ63" s="983"/>
      <c r="BR63" s="983"/>
      <c r="BS63" s="983"/>
      <c r="BT63" s="983"/>
      <c r="BU63" s="983"/>
      <c r="BV63" s="983"/>
      <c r="BW63" s="983"/>
      <c r="BX63" s="983"/>
      <c r="BY63" s="983"/>
      <c r="BZ63" s="983"/>
      <c r="CA63" s="983"/>
      <c r="CB63" s="983"/>
      <c r="CC63" s="983"/>
      <c r="CD63" s="983"/>
      <c r="CE63" s="983"/>
      <c r="CF63" s="983"/>
      <c r="CG63" s="983"/>
      <c r="CH63" s="983"/>
      <c r="CI63" s="983"/>
      <c r="CJ63" s="983"/>
      <c r="CK63" s="983"/>
      <c r="CL63" s="983"/>
      <c r="CM63" s="983"/>
      <c r="CN63" s="983"/>
      <c r="CO63" s="983"/>
      <c r="CP63" s="983"/>
      <c r="CQ63" s="983"/>
      <c r="CR63" s="983"/>
      <c r="CS63" s="983"/>
      <c r="CT63" s="983"/>
      <c r="CU63" s="983"/>
      <c r="CV63" s="983"/>
      <c r="CW63" s="983"/>
      <c r="CX63" s="983"/>
      <c r="CY63" s="983"/>
      <c r="CZ63" s="983"/>
      <c r="DA63" s="983"/>
      <c r="DB63" s="983"/>
      <c r="DC63" s="983"/>
      <c r="DD63" s="983"/>
      <c r="DE63" s="983"/>
      <c r="DF63" s="983"/>
      <c r="DG63" s="983"/>
      <c r="DH63" s="983"/>
      <c r="DI63" s="983"/>
      <c r="DJ63" s="983"/>
      <c r="DK63" s="983"/>
      <c r="DL63" s="983"/>
      <c r="DM63" s="983"/>
      <c r="DN63" s="983"/>
      <c r="DO63" s="983"/>
      <c r="DP63" s="983"/>
    </row>
    <row r="64" spans="1:120" ht="39.6">
      <c r="E64" s="884" t="s">
        <v>1411</v>
      </c>
    </row>
    <row r="65" spans="1:11" ht="39.6">
      <c r="E65" s="884" t="s">
        <v>1412</v>
      </c>
    </row>
    <row r="66" spans="1:11">
      <c r="A66" s="883" t="s">
        <v>1200</v>
      </c>
    </row>
    <row r="67" spans="1:11">
      <c r="B67" s="883" t="s">
        <v>1221</v>
      </c>
    </row>
    <row r="68" spans="1:11">
      <c r="J68" s="884" t="s">
        <v>1203</v>
      </c>
    </row>
    <row r="69" spans="1:11" ht="26.4">
      <c r="B69" s="885" t="s">
        <v>79</v>
      </c>
      <c r="C69" s="885" t="s">
        <v>5</v>
      </c>
      <c r="D69" s="885" t="s">
        <v>226</v>
      </c>
      <c r="E69" s="885" t="s">
        <v>227</v>
      </c>
      <c r="F69" s="885" t="s">
        <v>228</v>
      </c>
      <c r="G69" s="885" t="s">
        <v>545</v>
      </c>
      <c r="H69" s="885" t="s">
        <v>230</v>
      </c>
      <c r="I69" s="885" t="s">
        <v>231</v>
      </c>
      <c r="J69" s="885" t="s">
        <v>82</v>
      </c>
    </row>
    <row r="70" spans="1:11">
      <c r="B70" s="886" t="s">
        <v>947</v>
      </c>
      <c r="C70" s="888" t="s">
        <v>232</v>
      </c>
      <c r="D70" s="887">
        <v>61245704.799999997</v>
      </c>
      <c r="E70" s="887">
        <v>16190487.199999999</v>
      </c>
      <c r="F70" s="889">
        <v>72497384.400000006</v>
      </c>
      <c r="G70" s="887">
        <v>7774801.5</v>
      </c>
      <c r="H70" s="887">
        <v>8473277.6999999993</v>
      </c>
      <c r="I70" s="887">
        <v>1315582.7</v>
      </c>
      <c r="J70" s="887">
        <f>SUM(D70:I70)</f>
        <v>167497238.29999998</v>
      </c>
      <c r="K70" s="889">
        <v>72497384.400000006</v>
      </c>
    </row>
    <row r="71" spans="1:11">
      <c r="B71" s="886" t="s">
        <v>950</v>
      </c>
      <c r="C71" s="886" t="s">
        <v>233</v>
      </c>
      <c r="D71" s="887">
        <f>40062522243.64/1000</f>
        <v>40062522.243639998</v>
      </c>
      <c r="E71" s="887">
        <f>45633900354.03/1000</f>
        <v>45633900.354029998</v>
      </c>
      <c r="F71" s="887">
        <f>121728280001.8/1000</f>
        <v>121728280.0018</v>
      </c>
      <c r="G71" s="887">
        <f>5852223102.89/1000</f>
        <v>5852223.1028900007</v>
      </c>
      <c r="H71" s="887">
        <f>12661448084.2/1000</f>
        <v>12661448.0842</v>
      </c>
      <c r="I71" s="887"/>
      <c r="J71" s="887">
        <f t="shared" ref="J71:J77" si="0">SUM(D71:I71)</f>
        <v>225938373.78656</v>
      </c>
      <c r="K71" s="889">
        <f>+K70-F70</f>
        <v>0</v>
      </c>
    </row>
    <row r="72" spans="1:11">
      <c r="B72" s="886" t="s">
        <v>961</v>
      </c>
      <c r="C72" s="886" t="s">
        <v>269</v>
      </c>
      <c r="D72" s="887">
        <v>49947685</v>
      </c>
      <c r="E72" s="887">
        <v>50033849</v>
      </c>
      <c r="F72" s="887">
        <f>104810051.15423-279915.8</f>
        <v>104530135.35423</v>
      </c>
      <c r="G72" s="887">
        <f>9985920.1+419926.5</f>
        <v>10405846.6</v>
      </c>
      <c r="H72" s="887">
        <f>8155073.1+584590.4+460741.7</f>
        <v>9200405.1999999993</v>
      </c>
      <c r="I72" s="887">
        <v>601665.77283000003</v>
      </c>
      <c r="J72" s="887">
        <f t="shared" si="0"/>
        <v>224719586.92705998</v>
      </c>
      <c r="K72" s="889">
        <f>+F74-K71</f>
        <v>791531.12428999995</v>
      </c>
    </row>
    <row r="73" spans="1:11">
      <c r="B73" s="886" t="s">
        <v>962</v>
      </c>
      <c r="C73" s="888" t="s">
        <v>235</v>
      </c>
      <c r="D73" s="887">
        <f t="shared" ref="D73:H73" si="1">+D70+D71-D72</f>
        <v>51360542.043639988</v>
      </c>
      <c r="E73" s="887">
        <f t="shared" si="1"/>
        <v>11790538.554030001</v>
      </c>
      <c r="F73" s="887">
        <f>+F70+F71-F72</f>
        <v>89695529.047570005</v>
      </c>
      <c r="G73" s="887">
        <f>+G70+G71-G72</f>
        <v>3221178.0028900001</v>
      </c>
      <c r="H73" s="887">
        <f t="shared" si="1"/>
        <v>11934320.584199999</v>
      </c>
      <c r="I73" s="887">
        <f>+I70+I71-I72</f>
        <v>713916.92716999992</v>
      </c>
      <c r="J73" s="887">
        <f t="shared" si="0"/>
        <v>168716025.1595</v>
      </c>
      <c r="K73" s="889">
        <v>168716025134.12</v>
      </c>
    </row>
    <row r="74" spans="1:11">
      <c r="B74" s="886" t="s">
        <v>963</v>
      </c>
      <c r="C74" s="886" t="s">
        <v>236</v>
      </c>
      <c r="D74" s="887">
        <v>0</v>
      </c>
      <c r="E74" s="887">
        <v>0</v>
      </c>
      <c r="F74" s="887">
        <f>791531124.29/1000</f>
        <v>791531.12428999995</v>
      </c>
      <c r="G74" s="887">
        <f>506371175.58/1000+2692477.01/1000</f>
        <v>509063.65258999995</v>
      </c>
      <c r="H74" s="887">
        <f>116936446.59/1000</f>
        <v>116936.44659000001</v>
      </c>
      <c r="I74" s="887">
        <v>0</v>
      </c>
      <c r="J74" s="887">
        <f t="shared" si="0"/>
        <v>1417531.2234699999</v>
      </c>
      <c r="K74" s="887">
        <f>+K73/1000-J73</f>
        <v>-2.538001537322998E-2</v>
      </c>
    </row>
    <row r="75" spans="1:11">
      <c r="B75" s="886" t="s">
        <v>964</v>
      </c>
      <c r="C75" s="886" t="s">
        <v>237</v>
      </c>
      <c r="D75" s="887">
        <v>0</v>
      </c>
      <c r="E75" s="887">
        <v>0</v>
      </c>
      <c r="F75" s="887">
        <v>0</v>
      </c>
      <c r="G75" s="887">
        <v>0</v>
      </c>
      <c r="H75" s="887">
        <v>0</v>
      </c>
      <c r="I75" s="887">
        <v>0</v>
      </c>
      <c r="J75" s="887">
        <f t="shared" si="0"/>
        <v>0</v>
      </c>
    </row>
    <row r="76" spans="1:11">
      <c r="B76" s="886" t="s">
        <v>965</v>
      </c>
      <c r="C76" s="886" t="s">
        <v>1222</v>
      </c>
      <c r="D76" s="887">
        <f>+D73-D74</f>
        <v>51360542.043639988</v>
      </c>
      <c r="E76" s="887">
        <f t="shared" ref="E76:J76" si="2">+E73-E74</f>
        <v>11790538.554030001</v>
      </c>
      <c r="F76" s="887">
        <f t="shared" si="2"/>
        <v>88903997.923280001</v>
      </c>
      <c r="G76" s="887">
        <f t="shared" si="2"/>
        <v>2712114.3503</v>
      </c>
      <c r="H76" s="887">
        <f t="shared" si="2"/>
        <v>11817384.137609998</v>
      </c>
      <c r="I76" s="887">
        <f t="shared" si="2"/>
        <v>713916.92716999992</v>
      </c>
      <c r="J76" s="887">
        <f t="shared" si="2"/>
        <v>167298493.93603</v>
      </c>
    </row>
    <row r="77" spans="1:11">
      <c r="B77" s="886" t="s">
        <v>1223</v>
      </c>
      <c r="C77" s="886" t="s">
        <v>194</v>
      </c>
      <c r="D77" s="887">
        <v>61245704.799999997</v>
      </c>
      <c r="E77" s="887">
        <v>16190487.199999999</v>
      </c>
      <c r="F77" s="887">
        <v>71985769.099999994</v>
      </c>
      <c r="G77" s="887">
        <v>7685664.2999999998</v>
      </c>
      <c r="H77" s="887">
        <v>7888687.2999999998</v>
      </c>
      <c r="I77" s="887">
        <v>1315582.7</v>
      </c>
      <c r="J77" s="887">
        <f t="shared" si="0"/>
        <v>166311895.40000001</v>
      </c>
    </row>
    <row r="78" spans="1:11">
      <c r="B78" s="886" t="s">
        <v>1224</v>
      </c>
      <c r="C78" s="886" t="s">
        <v>195</v>
      </c>
      <c r="D78" s="887">
        <f>+D76</f>
        <v>51360542.043639988</v>
      </c>
      <c r="E78" s="887">
        <f t="shared" ref="E78:J78" si="3">+E76</f>
        <v>11790538.554030001</v>
      </c>
      <c r="F78" s="887">
        <f t="shared" si="3"/>
        <v>88903997.923280001</v>
      </c>
      <c r="G78" s="887">
        <f t="shared" si="3"/>
        <v>2712114.3503</v>
      </c>
      <c r="H78" s="887">
        <f t="shared" si="3"/>
        <v>11817384.137609998</v>
      </c>
      <c r="I78" s="887">
        <f t="shared" si="3"/>
        <v>713916.92716999992</v>
      </c>
      <c r="J78" s="887">
        <f t="shared" si="3"/>
        <v>167298493.93603</v>
      </c>
    </row>
    <row r="79" spans="1:11">
      <c r="B79" s="883" t="s">
        <v>1204</v>
      </c>
      <c r="D79" t="e">
        <f>+#REF!/1000</f>
        <v>#REF!</v>
      </c>
      <c r="E79" t="e">
        <f>+#REF!/1000</f>
        <v>#REF!</v>
      </c>
      <c r="F79" t="e">
        <f>+#REF!/1000</f>
        <v>#REF!</v>
      </c>
      <c r="G79" s="889">
        <f>3551967338.26/1000</f>
        <v>3551967.3382600001</v>
      </c>
      <c r="H79" s="905">
        <f>12395062329.23/1000</f>
        <v>12395062.329229999</v>
      </c>
      <c r="I79" s="283" t="e">
        <f>+#REF!/1000+#REF!/1000</f>
        <v>#REF!</v>
      </c>
      <c r="J79" s="892">
        <f>+balance!D14/1000</f>
        <v>128808689.43794134</v>
      </c>
    </row>
    <row r="80" spans="1:11">
      <c r="B80" s="884" t="s">
        <v>1201</v>
      </c>
      <c r="D80" s="889"/>
      <c r="E80" s="889"/>
      <c r="F80" s="889"/>
      <c r="G80" s="889"/>
      <c r="H80" s="889"/>
      <c r="I80" s="283"/>
      <c r="J80" s="283"/>
    </row>
    <row r="81" spans="1:120">
      <c r="A81" t="s">
        <v>1201</v>
      </c>
      <c r="B81" t="s">
        <v>1201</v>
      </c>
      <c r="C81" t="s">
        <v>1201</v>
      </c>
      <c r="F81" s="889"/>
      <c r="G81" s="889"/>
      <c r="H81" s="894"/>
      <c r="I81" s="894"/>
      <c r="J81" s="899"/>
      <c r="BP81" s="983"/>
      <c r="BQ81" s="983"/>
      <c r="BR81" s="983"/>
      <c r="BS81" s="983"/>
      <c r="BT81" s="983"/>
      <c r="BU81" s="983"/>
      <c r="BV81" s="983"/>
      <c r="BW81" s="983"/>
      <c r="BX81" s="983"/>
      <c r="BY81" s="983"/>
      <c r="BZ81" s="983"/>
      <c r="CA81" s="983"/>
      <c r="CB81" s="983"/>
      <c r="CC81" s="983"/>
      <c r="CD81" s="983"/>
      <c r="CE81" s="983"/>
      <c r="CF81" s="983"/>
      <c r="CG81" s="983"/>
      <c r="CH81" s="983"/>
      <c r="CI81" s="983"/>
      <c r="CJ81" s="983"/>
      <c r="CK81" s="983"/>
      <c r="CL81" s="983"/>
      <c r="CM81" s="983"/>
      <c r="CN81" s="983"/>
      <c r="CO81" s="983"/>
      <c r="CP81" s="983"/>
      <c r="CQ81" s="983"/>
      <c r="CR81" s="983"/>
      <c r="CS81" s="983"/>
      <c r="CT81" s="983"/>
      <c r="CU81" s="983"/>
      <c r="CV81" s="983"/>
      <c r="CW81" s="983"/>
      <c r="CX81" s="983"/>
      <c r="CY81" s="983"/>
      <c r="CZ81" s="983"/>
      <c r="DA81" s="983"/>
      <c r="DB81" s="983"/>
      <c r="DC81" s="983"/>
      <c r="DD81" s="983"/>
      <c r="DE81" s="983"/>
      <c r="DF81" s="983"/>
      <c r="DG81" s="983"/>
      <c r="DH81" s="983"/>
      <c r="DI81" s="983"/>
      <c r="DJ81" s="983"/>
      <c r="DK81" s="983"/>
      <c r="DL81" s="983"/>
      <c r="DM81" s="983"/>
      <c r="DN81" s="983"/>
      <c r="DO81" s="983"/>
      <c r="DP81" s="983"/>
    </row>
    <row r="82" spans="1:120" ht="39.6">
      <c r="E82" s="884" t="s">
        <v>1411</v>
      </c>
      <c r="F82" s="889"/>
      <c r="G82" s="894"/>
      <c r="H82" s="906"/>
    </row>
    <row r="83" spans="1:120" ht="39.6">
      <c r="E83" s="884" t="s">
        <v>1412</v>
      </c>
    </row>
    <row r="84" spans="1:120">
      <c r="A84" s="883" t="s">
        <v>1200</v>
      </c>
    </row>
    <row r="85" spans="1:120">
      <c r="B85" s="896" t="s">
        <v>1225</v>
      </c>
    </row>
    <row r="86" spans="1:120">
      <c r="E86" s="884" t="s">
        <v>1203</v>
      </c>
    </row>
    <row r="87" spans="1:120">
      <c r="B87" s="885" t="s">
        <v>79</v>
      </c>
      <c r="C87" s="885" t="s">
        <v>5</v>
      </c>
      <c r="D87" s="885" t="s">
        <v>195</v>
      </c>
      <c r="E87" s="885" t="s">
        <v>195</v>
      </c>
    </row>
    <row r="88" spans="1:120">
      <c r="B88" s="886" t="s">
        <v>947</v>
      </c>
      <c r="C88" s="886" t="s">
        <v>244</v>
      </c>
      <c r="D88" s="887">
        <v>3679082.1</v>
      </c>
      <c r="E88" s="887" t="e">
        <f>+#REF!/1000+#REF!/1000</f>
        <v>#REF!</v>
      </c>
    </row>
    <row r="89" spans="1:120">
      <c r="B89" s="886" t="s">
        <v>950</v>
      </c>
      <c r="C89" s="886" t="s">
        <v>245</v>
      </c>
      <c r="D89" s="887">
        <v>0</v>
      </c>
      <c r="E89" s="887">
        <v>0</v>
      </c>
    </row>
    <row r="90" spans="1:120" ht="26.4">
      <c r="B90" s="886" t="s">
        <v>1226</v>
      </c>
      <c r="C90" s="886" t="s">
        <v>1227</v>
      </c>
      <c r="D90" s="887">
        <v>0</v>
      </c>
      <c r="E90" s="887" t="e">
        <f>+#REF!/1000+#REF!/1000+#REF!/1000</f>
        <v>#REF!</v>
      </c>
    </row>
    <row r="91" spans="1:120">
      <c r="B91" s="886" t="s">
        <v>962</v>
      </c>
      <c r="C91" s="886"/>
      <c r="D91" s="887">
        <v>0</v>
      </c>
      <c r="E91" s="887">
        <v>0</v>
      </c>
    </row>
    <row r="92" spans="1:120">
      <c r="B92" s="886" t="s">
        <v>1201</v>
      </c>
      <c r="C92" s="888" t="s">
        <v>82</v>
      </c>
      <c r="D92" s="887">
        <f>SUM(D88:D91)</f>
        <v>3679082.1</v>
      </c>
      <c r="E92" s="887" t="e">
        <f>SUM(E88:E91)</f>
        <v>#REF!</v>
      </c>
      <c r="F92" s="71" t="e">
        <f>+E92-balance!D15/1000</f>
        <v>#REF!</v>
      </c>
      <c r="H92" s="71"/>
    </row>
    <row r="93" spans="1:120">
      <c r="A93" t="s">
        <v>1201</v>
      </c>
      <c r="B93" t="s">
        <v>1201</v>
      </c>
      <c r="C93" t="s">
        <v>1201</v>
      </c>
      <c r="D93" t="s">
        <v>1201</v>
      </c>
      <c r="H93" s="71">
        <v>16252478.380000001</v>
      </c>
      <c r="BP93" s="983"/>
      <c r="BQ93" s="983"/>
      <c r="BR93" s="983"/>
      <c r="BS93" s="983"/>
      <c r="BT93" s="983"/>
      <c r="BU93" s="983"/>
      <c r="BV93" s="983"/>
      <c r="BW93" s="983"/>
      <c r="BX93" s="983"/>
      <c r="BY93" s="983"/>
      <c r="BZ93" s="983"/>
      <c r="CA93" s="983"/>
      <c r="CB93" s="983"/>
      <c r="CC93" s="983"/>
      <c r="CD93" s="983"/>
      <c r="CE93" s="983"/>
      <c r="CF93" s="983"/>
      <c r="CG93" s="983"/>
      <c r="CH93" s="983"/>
      <c r="CI93" s="983"/>
      <c r="CJ93" s="983"/>
      <c r="CK93" s="983"/>
      <c r="CL93" s="983"/>
      <c r="CM93" s="983"/>
      <c r="CN93" s="983"/>
      <c r="CO93" s="983"/>
      <c r="CP93" s="983"/>
      <c r="CQ93" s="983"/>
      <c r="CR93" s="983"/>
      <c r="CS93" s="983"/>
      <c r="CT93" s="983"/>
      <c r="CU93" s="983"/>
      <c r="CV93" s="983"/>
      <c r="CW93" s="983"/>
      <c r="CX93" s="983"/>
      <c r="CY93" s="983"/>
      <c r="CZ93" s="983"/>
      <c r="DA93" s="983"/>
      <c r="DB93" s="983"/>
      <c r="DC93" s="983"/>
      <c r="DD93" s="983"/>
      <c r="DE93" s="983"/>
      <c r="DF93" s="983"/>
      <c r="DG93" s="983"/>
      <c r="DH93" s="983"/>
      <c r="DI93" s="983"/>
      <c r="DJ93" s="983"/>
      <c r="DK93" s="983"/>
      <c r="DL93" s="983"/>
      <c r="DM93" s="983"/>
      <c r="DN93" s="983"/>
      <c r="DO93" s="983"/>
      <c r="DP93" s="983"/>
    </row>
    <row r="94" spans="1:120" ht="39.6">
      <c r="E94" s="884" t="s">
        <v>1411</v>
      </c>
      <c r="G94">
        <f>76928.61*2</f>
        <v>153857.22</v>
      </c>
      <c r="H94" s="71">
        <f>+H93*0.1</f>
        <v>1625247.8380000002</v>
      </c>
    </row>
    <row r="95" spans="1:120" ht="39.6">
      <c r="E95" s="884" t="s">
        <v>1412</v>
      </c>
      <c r="H95" s="71">
        <v>1501994.06</v>
      </c>
    </row>
    <row r="96" spans="1:120">
      <c r="A96" s="883" t="s">
        <v>1200</v>
      </c>
      <c r="H96" s="71">
        <f>+H94-H95</f>
        <v>123253.77800000017</v>
      </c>
    </row>
    <row r="97" spans="2:13">
      <c r="B97" s="883" t="s">
        <v>1228</v>
      </c>
      <c r="E97" s="889">
        <f>+E98-E114</f>
        <v>-11379655.154589951</v>
      </c>
      <c r="F97" s="889">
        <f>+F98-F114</f>
        <v>-144548.05437029898</v>
      </c>
      <c r="G97" s="889">
        <f>+G98-G114</f>
        <v>57295.698700000532</v>
      </c>
      <c r="H97" s="889">
        <f>+H98-H114</f>
        <v>1306869.1468399949</v>
      </c>
      <c r="I97" s="889">
        <f>+I98-I114</f>
        <v>189172.94714999804</v>
      </c>
    </row>
    <row r="98" spans="2:13">
      <c r="E98">
        <f>+[5]S4!$B$17/1000</f>
        <v>62038838.498110011</v>
      </c>
      <c r="F98">
        <f>+[5]S4!$B$18/1000</f>
        <v>94138017.080719694</v>
      </c>
      <c r="G98">
        <f>+[5]S4!$B$20/1000</f>
        <v>2582291.0750600006</v>
      </c>
      <c r="H98" s="283">
        <f>+[5]asset!$F$2133/1000+[5]asset!$F$5838/1000</f>
        <v>5132710.0738499947</v>
      </c>
      <c r="I98">
        <f>+[5]asset!$F$4558/1000</f>
        <v>3836551.6714299996</v>
      </c>
      <c r="K98" s="884" t="s">
        <v>1203</v>
      </c>
    </row>
    <row r="99" spans="2:13" ht="26.4">
      <c r="B99" s="885" t="s">
        <v>79</v>
      </c>
      <c r="C99" s="885" t="s">
        <v>5</v>
      </c>
      <c r="D99" s="885" t="s">
        <v>248</v>
      </c>
      <c r="E99" s="885" t="s">
        <v>249</v>
      </c>
      <c r="F99" s="885" t="s">
        <v>1229</v>
      </c>
      <c r="G99" s="885" t="s">
        <v>251</v>
      </c>
      <c r="H99" s="885" t="s">
        <v>252</v>
      </c>
      <c r="I99" s="885" t="s">
        <v>253</v>
      </c>
      <c r="J99" s="885" t="s">
        <v>254</v>
      </c>
      <c r="K99" s="885" t="s">
        <v>82</v>
      </c>
    </row>
    <row r="100" spans="2:13">
      <c r="B100" s="886" t="s">
        <v>947</v>
      </c>
      <c r="C100" s="888" t="s">
        <v>1230</v>
      </c>
      <c r="D100" s="887">
        <v>0</v>
      </c>
      <c r="E100" s="887">
        <v>0</v>
      </c>
      <c r="F100" s="887">
        <v>0</v>
      </c>
      <c r="G100" s="887">
        <v>0</v>
      </c>
      <c r="H100" s="887">
        <v>0</v>
      </c>
      <c r="I100" s="887">
        <v>0</v>
      </c>
      <c r="J100" s="887">
        <v>0</v>
      </c>
      <c r="K100" s="887">
        <v>0</v>
      </c>
    </row>
    <row r="101" spans="2:13">
      <c r="B101" s="886" t="s">
        <v>150</v>
      </c>
      <c r="C101" s="886" t="s">
        <v>194</v>
      </c>
      <c r="D101" s="887">
        <v>2576719</v>
      </c>
      <c r="E101" s="887">
        <v>62041809.200000003</v>
      </c>
      <c r="F101" s="887">
        <v>94138017.099999994</v>
      </c>
      <c r="G101" s="887">
        <v>2582291.1</v>
      </c>
      <c r="H101" s="887">
        <v>4688365.5999999996</v>
      </c>
      <c r="I101" s="887">
        <v>3557956.1</v>
      </c>
      <c r="J101" s="887">
        <v>0</v>
      </c>
      <c r="K101" s="887">
        <f>SUM(D101:J101)</f>
        <v>169585158.09999999</v>
      </c>
      <c r="L101" s="889">
        <f>+K101-K116</f>
        <v>115372808.3</v>
      </c>
    </row>
    <row r="102" spans="2:13">
      <c r="B102" s="886" t="s">
        <v>948</v>
      </c>
      <c r="C102" s="886" t="s">
        <v>233</v>
      </c>
      <c r="D102" s="887">
        <v>0</v>
      </c>
      <c r="E102" s="887">
        <f>+E103+E104+E105+E106</f>
        <v>11376684.452699959</v>
      </c>
      <c r="F102" s="887">
        <f>+F103+F104+F105+F106</f>
        <v>166504.17968</v>
      </c>
      <c r="G102" s="887">
        <f>+G103+G104+G105+G106</f>
        <v>0</v>
      </c>
      <c r="H102" s="887">
        <f t="shared" ref="H102:I102" si="4">+H103+H104+H105+H106</f>
        <v>32036.250889999992</v>
      </c>
      <c r="I102" s="887">
        <f t="shared" si="4"/>
        <v>229912.10764</v>
      </c>
      <c r="J102" s="887">
        <f>+[6]Gobi!$M$87/1000</f>
        <v>912048.63800000004</v>
      </c>
      <c r="K102" s="887">
        <f t="shared" ref="K102:K113" si="5">SUM(D102:J102)</f>
        <v>12717185.628909959</v>
      </c>
    </row>
    <row r="103" spans="2:13">
      <c r="B103" s="886" t="s">
        <v>1231</v>
      </c>
      <c r="C103" s="886" t="s">
        <v>257</v>
      </c>
      <c r="D103" s="887">
        <v>0</v>
      </c>
      <c r="E103" s="887">
        <v>0</v>
      </c>
      <c r="F103" s="887">
        <v>0</v>
      </c>
      <c r="G103" s="887">
        <v>0</v>
      </c>
      <c r="H103" s="887">
        <v>0</v>
      </c>
      <c r="I103" s="887">
        <v>0</v>
      </c>
      <c r="J103" s="887">
        <v>0</v>
      </c>
      <c r="K103" s="887">
        <f t="shared" si="5"/>
        <v>0</v>
      </c>
    </row>
    <row r="104" spans="2:13">
      <c r="B104" s="886" t="s">
        <v>1232</v>
      </c>
      <c r="C104" s="886" t="s">
        <v>258</v>
      </c>
      <c r="D104" s="887">
        <v>0</v>
      </c>
      <c r="E104" s="887">
        <f>+[5]S4!$C$17/1000</f>
        <v>242531.81818</v>
      </c>
      <c r="F104" s="887">
        <f>+[5]S4!$C$18/1000</f>
        <v>166504.17968</v>
      </c>
      <c r="G104" s="887">
        <f>+[5]S4!$C$20</f>
        <v>0</v>
      </c>
      <c r="H104" s="887">
        <f>+[5]asset!$L$2133/1000</f>
        <v>32036.250889999992</v>
      </c>
      <c r="I104" s="887">
        <f>+[5]asset!$L$4558/1000</f>
        <v>229912.10764</v>
      </c>
      <c r="J104" s="887">
        <v>0</v>
      </c>
      <c r="K104" s="887">
        <f t="shared" si="5"/>
        <v>670984.35638999997</v>
      </c>
    </row>
    <row r="105" spans="2:13">
      <c r="B105" s="886" t="s">
        <v>1233</v>
      </c>
      <c r="C105" s="886" t="s">
        <v>259</v>
      </c>
      <c r="D105" s="887">
        <v>0</v>
      </c>
      <c r="E105" s="887">
        <v>0</v>
      </c>
      <c r="F105" s="887">
        <v>0</v>
      </c>
      <c r="G105" s="887">
        <v>0</v>
      </c>
      <c r="H105" s="887">
        <v>0</v>
      </c>
      <c r="I105" s="887">
        <v>0</v>
      </c>
      <c r="J105" s="887">
        <v>0</v>
      </c>
      <c r="K105" s="887">
        <f t="shared" si="5"/>
        <v>0</v>
      </c>
    </row>
    <row r="106" spans="2:13">
      <c r="B106" s="886" t="s">
        <v>1234</v>
      </c>
      <c r="C106" s="886" t="s">
        <v>260</v>
      </c>
      <c r="D106" s="887">
        <f>10208976608/1000</f>
        <v>10208976.607999999</v>
      </c>
      <c r="E106" s="887">
        <f>+[5]S4!$F$17/1000</f>
        <v>11134152.634519959</v>
      </c>
      <c r="F106" s="887">
        <v>0</v>
      </c>
      <c r="G106" s="887">
        <v>0</v>
      </c>
      <c r="H106" s="887">
        <v>0</v>
      </c>
      <c r="I106" s="887">
        <v>0</v>
      </c>
      <c r="J106" s="887">
        <v>0</v>
      </c>
      <c r="K106" s="887">
        <f t="shared" si="5"/>
        <v>21343129.24251996</v>
      </c>
    </row>
    <row r="107" spans="2:13">
      <c r="B107" s="886" t="s">
        <v>949</v>
      </c>
      <c r="C107" s="888" t="s">
        <v>269</v>
      </c>
      <c r="D107" s="893">
        <v>0</v>
      </c>
      <c r="E107" s="893">
        <f>+E108+E109+E110+E111+E112</f>
        <v>0</v>
      </c>
      <c r="F107" s="893">
        <f>+F108+F109+F110+F111+F112</f>
        <v>21956.14459</v>
      </c>
      <c r="G107" s="893">
        <f>+G108+G109+G110+G111</f>
        <v>57295.723640000004</v>
      </c>
      <c r="H107" s="893">
        <f>+H108+H109+H110+H111+H112</f>
        <v>894560.92387999943</v>
      </c>
      <c r="I107" s="893">
        <f t="shared" ref="I107" si="6">+I108+I109+I110+I111+I112</f>
        <v>140489.48335999838</v>
      </c>
      <c r="J107" s="893">
        <f>+J108+J109+J110+J111+J112</f>
        <v>0</v>
      </c>
      <c r="K107" s="887">
        <f t="shared" si="5"/>
        <v>1114302.2754699979</v>
      </c>
    </row>
    <row r="108" spans="2:13">
      <c r="B108" s="886" t="s">
        <v>1235</v>
      </c>
      <c r="C108" s="886" t="s">
        <v>1236</v>
      </c>
      <c r="D108" s="887">
        <v>0</v>
      </c>
      <c r="E108" s="887">
        <v>0</v>
      </c>
      <c r="F108" s="887">
        <f>+[5]S4!$D$18/1000</f>
        <v>5301</v>
      </c>
      <c r="G108" s="887">
        <f>+[5]S4!$D$20/1000</f>
        <v>57295.723640000004</v>
      </c>
      <c r="H108" s="887">
        <f>+[5]asset!$T$2133/1000</f>
        <v>22036.36363</v>
      </c>
      <c r="I108" s="887"/>
      <c r="J108" s="887">
        <v>0</v>
      </c>
      <c r="K108" s="887">
        <f t="shared" si="5"/>
        <v>84633.087270000004</v>
      </c>
    </row>
    <row r="109" spans="2:13">
      <c r="B109" s="886" t="s">
        <v>1237</v>
      </c>
      <c r="C109" s="886" t="s">
        <v>1238</v>
      </c>
      <c r="D109" s="887">
        <v>0</v>
      </c>
      <c r="E109" s="887">
        <v>0</v>
      </c>
      <c r="F109" s="887">
        <f>+[5]S4!$E$18/1000</f>
        <v>14322.52045</v>
      </c>
      <c r="G109" s="887">
        <v>0</v>
      </c>
      <c r="H109" s="887">
        <f>+[5]asset!$Z$2133/1000</f>
        <v>65421.854039999991</v>
      </c>
      <c r="I109" s="887">
        <f>+[5]asset!$Z$4558/1000</f>
        <v>37875.848480000001</v>
      </c>
      <c r="J109" s="887">
        <v>0</v>
      </c>
      <c r="K109" s="887">
        <f t="shared" si="5"/>
        <v>117620.22296999999</v>
      </c>
    </row>
    <row r="110" spans="2:13">
      <c r="B110" s="886" t="s">
        <v>1239</v>
      </c>
      <c r="C110" s="886" t="s">
        <v>1240</v>
      </c>
      <c r="D110" s="887">
        <v>0</v>
      </c>
      <c r="E110" s="887">
        <v>0</v>
      </c>
      <c r="F110" s="887">
        <v>0</v>
      </c>
      <c r="G110" s="887">
        <v>0</v>
      </c>
      <c r="H110" s="887"/>
      <c r="I110" s="887"/>
      <c r="J110" s="887">
        <v>0</v>
      </c>
      <c r="K110" s="887">
        <f t="shared" si="5"/>
        <v>0</v>
      </c>
    </row>
    <row r="111" spans="2:13">
      <c r="B111" s="886" t="s">
        <v>1241</v>
      </c>
      <c r="C111" s="886"/>
      <c r="D111" s="887">
        <v>0</v>
      </c>
      <c r="E111" s="887">
        <v>0</v>
      </c>
      <c r="F111" s="887"/>
      <c r="G111" s="887">
        <v>0</v>
      </c>
      <c r="H111" s="887">
        <v>0</v>
      </c>
      <c r="I111" s="887">
        <v>0</v>
      </c>
      <c r="J111" s="887">
        <v>0</v>
      </c>
      <c r="K111" s="887">
        <f t="shared" si="5"/>
        <v>0</v>
      </c>
    </row>
    <row r="112" spans="2:13">
      <c r="B112" s="886" t="s">
        <v>1242</v>
      </c>
      <c r="C112" s="886" t="s">
        <v>1243</v>
      </c>
      <c r="D112" s="887">
        <v>0</v>
      </c>
      <c r="E112" s="71">
        <v>0</v>
      </c>
      <c r="F112" s="887">
        <f>+[5]S4!$G$32/1000</f>
        <v>2332.6241399999994</v>
      </c>
      <c r="G112" s="887">
        <v>0</v>
      </c>
      <c r="H112" s="887">
        <v>807102.70620999951</v>
      </c>
      <c r="I112" s="887">
        <v>102613.6348799984</v>
      </c>
      <c r="J112" s="887">
        <v>0</v>
      </c>
      <c r="K112" s="887">
        <f>SUM(D112:J112)</f>
        <v>912048.96522999788</v>
      </c>
      <c r="L112" s="283">
        <f>+[5]asset!$AJ$4558+[5]asset!$AJ$2133+[5]asset!$AJ$5838</f>
        <v>9105876037.6599941</v>
      </c>
      <c r="M112">
        <f>+L112/1000</f>
        <v>9105876.0376599934</v>
      </c>
    </row>
    <row r="113" spans="2:15" ht="26.4">
      <c r="B113" s="886" t="s">
        <v>1244</v>
      </c>
      <c r="C113" s="886" t="s">
        <v>1245</v>
      </c>
      <c r="D113" s="887">
        <v>0</v>
      </c>
      <c r="E113" s="887">
        <v>0</v>
      </c>
      <c r="F113" s="887">
        <v>0</v>
      </c>
      <c r="G113" s="887">
        <v>0</v>
      </c>
      <c r="H113" s="887">
        <v>0</v>
      </c>
      <c r="I113" s="887">
        <v>0</v>
      </c>
      <c r="J113" s="887">
        <v>0</v>
      </c>
      <c r="K113" s="887">
        <f t="shared" si="5"/>
        <v>0</v>
      </c>
      <c r="M113" s="889">
        <f>+H101+I101</f>
        <v>8246321.6999999993</v>
      </c>
      <c r="N113" s="889">
        <f>+M112-M113</f>
        <v>859554.33765999414</v>
      </c>
    </row>
    <row r="114" spans="2:15">
      <c r="B114" s="886" t="s">
        <v>1246</v>
      </c>
      <c r="C114" s="888" t="s">
        <v>195</v>
      </c>
      <c r="D114" s="893">
        <f>+D101+D106</f>
        <v>12785695.607999999</v>
      </c>
      <c r="E114" s="893">
        <f t="shared" ref="E114:J114" si="7">+E101+E102-E107</f>
        <v>73418493.652699962</v>
      </c>
      <c r="F114" s="893">
        <f t="shared" si="7"/>
        <v>94282565.135089993</v>
      </c>
      <c r="G114" s="893">
        <f t="shared" si="7"/>
        <v>2524995.3763600001</v>
      </c>
      <c r="H114" s="893">
        <f t="shared" si="7"/>
        <v>3825840.9270099998</v>
      </c>
      <c r="I114" s="893">
        <f t="shared" si="7"/>
        <v>3647378.7242800016</v>
      </c>
      <c r="J114" s="893">
        <f t="shared" si="7"/>
        <v>912048.63800000004</v>
      </c>
      <c r="K114" s="893">
        <f>SUM(D114:J114)</f>
        <v>191397018.06143996</v>
      </c>
      <c r="L114" s="892">
        <f>+[5]asset!$AJ$5846-[5]asset!$AJ$5840</f>
        <v>192116987887.83966</v>
      </c>
      <c r="M114" s="71">
        <f>+L114/1000</f>
        <v>192116987.88783967</v>
      </c>
      <c r="N114" s="283">
        <f>+L114-M114</f>
        <v>191924870899.95181</v>
      </c>
      <c r="O114" s="283">
        <f>+L114-N114</f>
        <v>192116987.8878479</v>
      </c>
    </row>
    <row r="115" spans="2:15">
      <c r="B115" s="886" t="s">
        <v>950</v>
      </c>
      <c r="C115" s="888" t="s">
        <v>266</v>
      </c>
      <c r="D115" s="887">
        <v>0</v>
      </c>
      <c r="E115" s="887">
        <v>0</v>
      </c>
      <c r="F115" s="887">
        <v>0</v>
      </c>
      <c r="G115" s="887">
        <v>0</v>
      </c>
      <c r="H115" s="887">
        <v>0</v>
      </c>
      <c r="I115" s="887">
        <v>0</v>
      </c>
      <c r="J115" s="887">
        <v>0</v>
      </c>
      <c r="K115" s="887">
        <f t="shared" ref="K115:K116" si="8">SUM(D115:J115)</f>
        <v>0</v>
      </c>
      <c r="L115" s="71">
        <f>+L114/1000-K114</f>
        <v>719969.82639971375</v>
      </c>
      <c r="M115" s="894">
        <v>192120596.30000001</v>
      </c>
      <c r="O115" s="283">
        <f>+K114-N114</f>
        <v>-191733473881.89038</v>
      </c>
    </row>
    <row r="116" spans="2:15">
      <c r="B116" s="886" t="s">
        <v>951</v>
      </c>
      <c r="C116" s="888" t="s">
        <v>194</v>
      </c>
      <c r="D116" s="893">
        <v>0</v>
      </c>
      <c r="E116" s="893">
        <v>5287866.5999999996</v>
      </c>
      <c r="F116" s="893">
        <v>44415539</v>
      </c>
      <c r="G116" s="893">
        <v>961328.5</v>
      </c>
      <c r="H116" s="893">
        <v>1188903.3</v>
      </c>
      <c r="I116" s="893">
        <v>2358712.4</v>
      </c>
      <c r="J116" s="893">
        <v>0</v>
      </c>
      <c r="K116" s="893">
        <f t="shared" si="8"/>
        <v>54212349.799999997</v>
      </c>
      <c r="L116">
        <f>+[5]asset!$AJ$4558/1000</f>
        <v>4028587.9305899995</v>
      </c>
      <c r="M116" s="889">
        <f>+M114-M115</f>
        <v>-3608.4121603369713</v>
      </c>
    </row>
    <row r="117" spans="2:15">
      <c r="B117" s="886" t="s">
        <v>953</v>
      </c>
      <c r="C117" s="886" t="s">
        <v>233</v>
      </c>
      <c r="D117" s="887">
        <v>0</v>
      </c>
      <c r="E117" s="887">
        <f>+E118+E119+E120</f>
        <v>2161624.0502826516</v>
      </c>
      <c r="F117" s="887">
        <f>+F118+F119+F120</f>
        <v>7914807.1089099823</v>
      </c>
      <c r="G117" s="887">
        <f>+G118+G119+G120</f>
        <v>252577.21025999996</v>
      </c>
      <c r="H117" s="887">
        <f t="shared" ref="H117:J117" si="9">+H118+H119+H120</f>
        <v>396014.80457999953</v>
      </c>
      <c r="I117" s="887">
        <f t="shared" si="9"/>
        <v>383478.54745000199</v>
      </c>
      <c r="J117" s="887">
        <f t="shared" si="9"/>
        <v>594046.40776999982</v>
      </c>
      <c r="K117" s="887">
        <f>SUM(D117:J117)</f>
        <v>11702548.129252635</v>
      </c>
    </row>
    <row r="118" spans="2:15">
      <c r="B118" s="886" t="s">
        <v>1247</v>
      </c>
      <c r="C118" s="886" t="s">
        <v>1248</v>
      </c>
      <c r="D118" s="887">
        <v>0</v>
      </c>
      <c r="E118" s="887">
        <f>+[5]S4!$C$31/1000</f>
        <v>2161624.0502826516</v>
      </c>
      <c r="F118" s="887">
        <f>+[5]S4!$C$32/1000</f>
        <v>7914807.1089099823</v>
      </c>
      <c r="G118" s="887">
        <f>+[5]S4!$C$34/1000</f>
        <v>252577.21025999996</v>
      </c>
      <c r="H118" s="887">
        <f>+[5]depreciation!$L$2076/1000</f>
        <v>396014.80457999953</v>
      </c>
      <c r="I118" s="887">
        <v>383478.54745000199</v>
      </c>
      <c r="J118" s="887">
        <f>-[6]Gobi!$M$88/1000</f>
        <v>594046.40776999982</v>
      </c>
      <c r="K118" s="887">
        <f t="shared" ref="K118:K127" si="10">SUM(D118:J118)</f>
        <v>11702548.129252635</v>
      </c>
      <c r="L118" s="889">
        <f>+[5]S4!$C$37/1000</f>
        <v>11702548.129252635</v>
      </c>
      <c r="M118" s="889">
        <f>+K118-L118</f>
        <v>0</v>
      </c>
    </row>
    <row r="119" spans="2:15">
      <c r="B119" s="886" t="s">
        <v>1249</v>
      </c>
      <c r="C119" s="886" t="s">
        <v>286</v>
      </c>
      <c r="D119" s="887">
        <v>0</v>
      </c>
      <c r="E119" s="887"/>
      <c r="F119" s="887">
        <v>0</v>
      </c>
      <c r="G119" s="887">
        <v>0</v>
      </c>
      <c r="H119" s="887">
        <v>0</v>
      </c>
      <c r="I119" s="887">
        <v>0</v>
      </c>
      <c r="J119" s="887">
        <v>0</v>
      </c>
      <c r="K119" s="887">
        <f t="shared" si="10"/>
        <v>0</v>
      </c>
    </row>
    <row r="120" spans="2:15">
      <c r="B120" s="886" t="s">
        <v>1250</v>
      </c>
      <c r="C120" s="886" t="s">
        <v>268</v>
      </c>
      <c r="D120" s="887">
        <v>0</v>
      </c>
      <c r="E120" s="887">
        <v>0</v>
      </c>
      <c r="F120" s="887">
        <v>0</v>
      </c>
      <c r="G120" s="887">
        <v>0</v>
      </c>
      <c r="H120" s="887">
        <v>0</v>
      </c>
      <c r="I120" s="887">
        <v>0</v>
      </c>
      <c r="J120" s="887">
        <v>0</v>
      </c>
      <c r="K120" s="887">
        <f t="shared" si="10"/>
        <v>0</v>
      </c>
    </row>
    <row r="121" spans="2:15">
      <c r="B121" s="886" t="s">
        <v>954</v>
      </c>
      <c r="C121" s="888" t="s">
        <v>269</v>
      </c>
      <c r="D121" s="893">
        <v>0</v>
      </c>
      <c r="E121" s="893">
        <f>+E122+E123+E124</f>
        <v>6847095.2501100022</v>
      </c>
      <c r="F121" s="893">
        <f>+F122+F123+F124</f>
        <v>2047.0253799999996</v>
      </c>
      <c r="G121" s="893">
        <f>+G122+G123+G124</f>
        <v>48035.624060000002</v>
      </c>
      <c r="H121" s="893">
        <f t="shared" ref="H121:J121" si="11">+H122+H123+H124</f>
        <v>63889.309310000011</v>
      </c>
      <c r="I121" s="893">
        <f t="shared" si="11"/>
        <v>10635.090920000001</v>
      </c>
      <c r="J121" s="893">
        <f t="shared" si="11"/>
        <v>0</v>
      </c>
      <c r="K121" s="887">
        <f t="shared" si="10"/>
        <v>6971702.2997800028</v>
      </c>
    </row>
    <row r="122" spans="2:15">
      <c r="B122" s="886" t="s">
        <v>1251</v>
      </c>
      <c r="C122" s="886" t="s">
        <v>1252</v>
      </c>
      <c r="D122" s="887">
        <v>0</v>
      </c>
      <c r="E122" s="887">
        <v>0</v>
      </c>
      <c r="F122" s="887">
        <f>+[5]S4!$E$32/1000</f>
        <v>2047.0253799999996</v>
      </c>
      <c r="G122" s="887">
        <f>+[5]S4!$D$34/1000</f>
        <v>48035.624060000002</v>
      </c>
      <c r="H122" s="887">
        <f>+[5]depreciation!$G$2076/1000+[5]depreciation!$H$2076/1000</f>
        <v>63889.309310000011</v>
      </c>
      <c r="I122" s="887">
        <f>+[5]depreciation!$H$4282/1000</f>
        <v>10635.090920000001</v>
      </c>
      <c r="J122" s="887">
        <v>0</v>
      </c>
      <c r="K122" s="887">
        <f t="shared" si="10"/>
        <v>124607.04967000002</v>
      </c>
    </row>
    <row r="123" spans="2:15">
      <c r="B123" s="886" t="s">
        <v>1253</v>
      </c>
      <c r="C123" s="886" t="s">
        <v>1254</v>
      </c>
      <c r="D123" s="887">
        <v>0</v>
      </c>
      <c r="E123" s="887">
        <f>+[5]S4!$F$31/1000</f>
        <v>6847095.2501100022</v>
      </c>
      <c r="F123" s="887">
        <v>0</v>
      </c>
      <c r="G123" s="887">
        <v>0</v>
      </c>
      <c r="H123" s="887">
        <v>0</v>
      </c>
      <c r="I123" s="887">
        <v>0</v>
      </c>
      <c r="J123" s="887">
        <v>0</v>
      </c>
      <c r="K123" s="887">
        <f t="shared" si="10"/>
        <v>6847095.2501100022</v>
      </c>
    </row>
    <row r="124" spans="2:15">
      <c r="B124" s="886" t="s">
        <v>1255</v>
      </c>
      <c r="C124" s="886" t="s">
        <v>271</v>
      </c>
      <c r="D124" s="887">
        <v>0</v>
      </c>
      <c r="E124" s="887">
        <v>0</v>
      </c>
      <c r="F124" s="887">
        <v>0</v>
      </c>
      <c r="G124" s="887">
        <v>0</v>
      </c>
      <c r="H124" s="887">
        <v>0</v>
      </c>
      <c r="I124" s="887">
        <v>0</v>
      </c>
      <c r="J124" s="887">
        <v>0</v>
      </c>
      <c r="K124" s="887">
        <f t="shared" si="10"/>
        <v>0</v>
      </c>
    </row>
    <row r="125" spans="2:15">
      <c r="B125" s="886" t="s">
        <v>955</v>
      </c>
      <c r="C125" s="900" t="s">
        <v>195</v>
      </c>
      <c r="D125" s="890">
        <v>0</v>
      </c>
      <c r="E125" s="890">
        <f>+E116+E117-E121</f>
        <v>602395.40017264895</v>
      </c>
      <c r="F125" s="890">
        <f>+F116+F117-F121</f>
        <v>52328299.083529979</v>
      </c>
      <c r="G125" s="890">
        <f>+G116+G117-G121</f>
        <v>1165870.0862</v>
      </c>
      <c r="H125" s="890">
        <f>+H116+H117-H121</f>
        <v>1521028.7952699997</v>
      </c>
      <c r="I125" s="890">
        <f t="shared" ref="I125:J125" si="12">+I116+I117-I121</f>
        <v>2731555.8565300019</v>
      </c>
      <c r="J125" s="890">
        <f t="shared" si="12"/>
        <v>594046.40776999982</v>
      </c>
      <c r="K125" s="890">
        <f>SUM(D125:J125)</f>
        <v>58943195.629472628</v>
      </c>
    </row>
    <row r="126" spans="2:15">
      <c r="B126" s="886" t="s">
        <v>961</v>
      </c>
      <c r="C126" s="888" t="s">
        <v>272</v>
      </c>
      <c r="D126" s="887">
        <v>0</v>
      </c>
      <c r="E126" s="887">
        <v>0</v>
      </c>
      <c r="F126" s="887">
        <v>0</v>
      </c>
      <c r="G126" s="887">
        <v>0</v>
      </c>
      <c r="H126" s="887">
        <v>0</v>
      </c>
      <c r="I126" s="887">
        <v>0</v>
      </c>
      <c r="J126" s="887">
        <v>0</v>
      </c>
      <c r="K126" s="887">
        <f t="shared" si="10"/>
        <v>0</v>
      </c>
    </row>
    <row r="127" spans="2:15">
      <c r="B127" s="886" t="s">
        <v>967</v>
      </c>
      <c r="C127" s="886" t="s">
        <v>194</v>
      </c>
      <c r="D127" s="887">
        <v>2576719</v>
      </c>
      <c r="E127" s="887">
        <v>40628884.399999999</v>
      </c>
      <c r="F127" s="887">
        <v>33467681.5</v>
      </c>
      <c r="G127" s="887">
        <v>1253591</v>
      </c>
      <c r="H127" s="887">
        <v>2156438.1</v>
      </c>
      <c r="I127" s="887">
        <v>622360.80000000005</v>
      </c>
      <c r="J127" s="887"/>
      <c r="K127" s="887">
        <f t="shared" si="10"/>
        <v>80705674.799999997</v>
      </c>
    </row>
    <row r="128" spans="2:15">
      <c r="B128" s="886" t="s">
        <v>968</v>
      </c>
      <c r="C128" s="886" t="s">
        <v>195</v>
      </c>
      <c r="D128" s="887">
        <f>+D114</f>
        <v>12785695.607999999</v>
      </c>
      <c r="E128" s="887">
        <f>+E114-E125</f>
        <v>72816098.252527311</v>
      </c>
      <c r="F128" s="887">
        <f>+F114-F125</f>
        <v>41954266.051560014</v>
      </c>
      <c r="G128" s="887">
        <f>+G114-G125</f>
        <v>1359125.2901600001</v>
      </c>
      <c r="H128" s="887">
        <f>+H114-H125</f>
        <v>2304812.1317400001</v>
      </c>
      <c r="I128" s="887">
        <f t="shared" ref="I128:J128" si="13">+I114-I125</f>
        <v>915822.86774999974</v>
      </c>
      <c r="J128" s="887">
        <f t="shared" si="13"/>
        <v>318002.23023000022</v>
      </c>
      <c r="K128" s="887">
        <f>SUM(D128:J128)</f>
        <v>132453822.43196733</v>
      </c>
      <c r="L128" s="71">
        <f>+K128-balance!D21/1000</f>
        <v>-4960384.5354409367</v>
      </c>
    </row>
    <row r="129" spans="1:120">
      <c r="B129" s="883" t="s">
        <v>1204</v>
      </c>
      <c r="E129" s="283">
        <f>+[5]S4!$H$17/1000-[5]S4!$H$31/1000</f>
        <v>72816098.220497325</v>
      </c>
      <c r="F129" s="71">
        <f>+[5]S4!$I$18/1000-[5]S4!$H$32/1000</f>
        <v>41954266.059550017</v>
      </c>
      <c r="G129" s="71">
        <f>+[6]Gobi!$M$81/1000+[6]Gobi!$M$82/1000</f>
        <v>1359125.4422200001</v>
      </c>
      <c r="H129" s="283">
        <f>+[6]Gobi!$M$83/1000+[6]Gobi!$M$84/1000</f>
        <v>2304812.1317400001</v>
      </c>
      <c r="I129" s="283">
        <f>+[6]Gobi!$M$85/1000+[6]Gobi!$M$86/1000</f>
        <v>915822.86774999974</v>
      </c>
      <c r="J129" s="283">
        <f>+[6]Gobi!$M$87/1000+[6]Gobi!$M$88/1000</f>
        <v>318002.23023000022</v>
      </c>
      <c r="K129" s="889">
        <f>+[6]Gobi!$M$74-[6]Gobi!$M$90-[6]Gobi!$M$89</f>
        <v>132453822759.98735</v>
      </c>
    </row>
    <row r="130" spans="1:120">
      <c r="B130" s="884" t="s">
        <v>1201</v>
      </c>
      <c r="E130" s="71">
        <f t="shared" ref="E130:J130" si="14">+E128-E129</f>
        <v>3.2029986381530762E-2</v>
      </c>
      <c r="F130" s="71">
        <f t="shared" si="14"/>
        <v>-7.9900026321411133E-3</v>
      </c>
      <c r="G130" s="71">
        <f t="shared" si="14"/>
        <v>-0.15205999999307096</v>
      </c>
      <c r="H130" s="283">
        <f t="shared" si="14"/>
        <v>0</v>
      </c>
      <c r="I130" s="283">
        <f t="shared" si="14"/>
        <v>0</v>
      </c>
      <c r="J130" s="283">
        <f t="shared" si="14"/>
        <v>0</v>
      </c>
      <c r="K130" s="892"/>
    </row>
    <row r="131" spans="1:120">
      <c r="A131" t="s">
        <v>1201</v>
      </c>
      <c r="B131" t="s">
        <v>1201</v>
      </c>
      <c r="C131" t="s">
        <v>1201</v>
      </c>
      <c r="D131" t="s">
        <v>1201</v>
      </c>
      <c r="E131" s="71"/>
      <c r="F131" s="71"/>
      <c r="G131" s="71"/>
      <c r="K131" s="283"/>
      <c r="BP131" s="983"/>
      <c r="BQ131" s="983"/>
      <c r="BR131" s="983"/>
      <c r="BS131" s="983"/>
      <c r="BT131" s="983"/>
      <c r="BU131" s="983"/>
      <c r="BV131" s="983"/>
      <c r="BW131" s="983"/>
      <c r="BX131" s="983"/>
      <c r="BY131" s="983"/>
      <c r="BZ131" s="983"/>
      <c r="CA131" s="983"/>
      <c r="CB131" s="983"/>
      <c r="CC131" s="983"/>
      <c r="CD131" s="983"/>
      <c r="CE131" s="983"/>
      <c r="CF131" s="983"/>
      <c r="CG131" s="983"/>
      <c r="CH131" s="983"/>
      <c r="CI131" s="983"/>
      <c r="CJ131" s="983"/>
      <c r="CK131" s="983"/>
      <c r="CL131" s="983"/>
      <c r="CM131" s="983"/>
      <c r="CN131" s="983"/>
      <c r="CO131" s="983"/>
      <c r="CP131" s="983"/>
      <c r="CQ131" s="983"/>
      <c r="CR131" s="983"/>
      <c r="CS131" s="983"/>
      <c r="CT131" s="983"/>
      <c r="CU131" s="983"/>
      <c r="CV131" s="983"/>
      <c r="CW131" s="983"/>
      <c r="CX131" s="983"/>
      <c r="CY131" s="983"/>
      <c r="CZ131" s="983"/>
      <c r="DA131" s="983"/>
      <c r="DB131" s="983"/>
      <c r="DC131" s="983"/>
      <c r="DD131" s="983"/>
      <c r="DE131" s="983"/>
      <c r="DF131" s="983"/>
      <c r="DG131" s="983"/>
      <c r="DH131" s="983"/>
      <c r="DI131" s="983"/>
      <c r="DJ131" s="983"/>
      <c r="DK131" s="983"/>
      <c r="DL131" s="983"/>
      <c r="DM131" s="983"/>
      <c r="DN131" s="983"/>
      <c r="DO131" s="983"/>
      <c r="DP131" s="983"/>
    </row>
    <row r="132" spans="1:120">
      <c r="E132" s="71"/>
      <c r="F132" s="71"/>
      <c r="G132" s="71"/>
      <c r="H132" s="889"/>
      <c r="I132" s="889">
        <f>+H130+I130</f>
        <v>0</v>
      </c>
      <c r="J132" s="889"/>
    </row>
    <row r="133" spans="1:120">
      <c r="E133" s="71"/>
      <c r="F133" s="71"/>
      <c r="G133" s="71"/>
      <c r="H133" s="283"/>
      <c r="I133" s="71">
        <f>+I132-J114</f>
        <v>-912048.63800000004</v>
      </c>
      <c r="K133" s="589"/>
    </row>
    <row r="134" spans="1:120">
      <c r="E134" s="71"/>
      <c r="F134" s="71"/>
      <c r="G134" s="71"/>
      <c r="H134" s="899"/>
      <c r="I134" s="71"/>
    </row>
    <row r="135" spans="1:120" ht="39.6">
      <c r="E135" s="884" t="s">
        <v>1411</v>
      </c>
      <c r="G135" s="898" t="s">
        <v>1437</v>
      </c>
      <c r="H135" s="889"/>
      <c r="J135" s="889"/>
    </row>
    <row r="136" spans="1:120" ht="39.6">
      <c r="E136" s="884" t="s">
        <v>1412</v>
      </c>
      <c r="H136" s="283"/>
      <c r="J136" s="889"/>
      <c r="K136" s="889">
        <f>+I136-J136</f>
        <v>0</v>
      </c>
    </row>
    <row r="137" spans="1:120">
      <c r="A137" s="883" t="s">
        <v>1200</v>
      </c>
      <c r="I137">
        <f>+I135-I136</f>
        <v>0</v>
      </c>
      <c r="K137" s="889">
        <f>+J135+K136</f>
        <v>0</v>
      </c>
    </row>
    <row r="138" spans="1:120">
      <c r="B138" s="883" t="s">
        <v>1256</v>
      </c>
    </row>
    <row r="139" spans="1:120">
      <c r="G139" s="884" t="s">
        <v>1203</v>
      </c>
    </row>
    <row r="140" spans="1:120" ht="26.4">
      <c r="B140" s="885" t="s">
        <v>79</v>
      </c>
      <c r="C140" s="885" t="s">
        <v>5</v>
      </c>
      <c r="D140" s="885" t="s">
        <v>1257</v>
      </c>
      <c r="E140" s="885" t="s">
        <v>293</v>
      </c>
      <c r="F140" s="885" t="s">
        <v>1258</v>
      </c>
      <c r="G140" s="885" t="s">
        <v>295</v>
      </c>
    </row>
    <row r="141" spans="1:120">
      <c r="B141" s="886" t="s">
        <v>947</v>
      </c>
      <c r="C141" s="886" t="s">
        <v>1413</v>
      </c>
      <c r="D141" s="887" t="s">
        <v>1414</v>
      </c>
      <c r="E141" s="887" t="s">
        <v>1260</v>
      </c>
      <c r="F141" s="887">
        <f>+'[3]BS format 3a'!$CK$89/1000</f>
        <v>30054.995800000001</v>
      </c>
      <c r="G141" s="887" t="s">
        <v>1201</v>
      </c>
    </row>
    <row r="142" spans="1:120">
      <c r="B142" s="886" t="s">
        <v>950</v>
      </c>
      <c r="C142" s="888" t="s">
        <v>82</v>
      </c>
      <c r="D142" s="887" t="s">
        <v>1201</v>
      </c>
      <c r="E142" s="887" t="s">
        <v>1260</v>
      </c>
      <c r="F142" s="887">
        <f>+F141</f>
        <v>30054.995800000001</v>
      </c>
      <c r="G142" s="887" t="s">
        <v>1201</v>
      </c>
    </row>
    <row r="143" spans="1:120">
      <c r="B143" s="883" t="s">
        <v>1204</v>
      </c>
    </row>
    <row r="144" spans="1:120">
      <c r="B144" s="884" t="s">
        <v>1201</v>
      </c>
    </row>
    <row r="145" spans="1:120">
      <c r="A145" t="s">
        <v>1201</v>
      </c>
      <c r="B145" t="s">
        <v>1201</v>
      </c>
      <c r="C145" t="s">
        <v>1201</v>
      </c>
      <c r="D145" t="s">
        <v>1201</v>
      </c>
      <c r="BP145" s="983"/>
      <c r="BQ145" s="983"/>
      <c r="BR145" s="983"/>
      <c r="BS145" s="983"/>
      <c r="BT145" s="983"/>
      <c r="BU145" s="983"/>
      <c r="BV145" s="983"/>
      <c r="BW145" s="983"/>
      <c r="BX145" s="983"/>
      <c r="BY145" s="983"/>
      <c r="BZ145" s="983"/>
      <c r="CA145" s="983"/>
      <c r="CB145" s="983"/>
      <c r="CC145" s="983"/>
      <c r="CD145" s="983"/>
      <c r="CE145" s="983"/>
      <c r="CF145" s="983"/>
      <c r="CG145" s="983"/>
      <c r="CH145" s="983"/>
      <c r="CI145" s="983"/>
      <c r="CJ145" s="983"/>
      <c r="CK145" s="983"/>
      <c r="CL145" s="983"/>
      <c r="CM145" s="983"/>
      <c r="CN145" s="983"/>
      <c r="CO145" s="983"/>
      <c r="CP145" s="983"/>
      <c r="CQ145" s="983"/>
      <c r="CR145" s="983"/>
      <c r="CS145" s="983"/>
      <c r="CT145" s="983"/>
      <c r="CU145" s="983"/>
      <c r="CV145" s="983"/>
      <c r="CW145" s="983"/>
      <c r="CX145" s="983"/>
      <c r="CY145" s="983"/>
      <c r="CZ145" s="983"/>
      <c r="DA145" s="983"/>
      <c r="DB145" s="983"/>
      <c r="DC145" s="983"/>
      <c r="DD145" s="983"/>
      <c r="DE145" s="983"/>
      <c r="DF145" s="983"/>
      <c r="DG145" s="983"/>
      <c r="DH145" s="983"/>
      <c r="DI145" s="983"/>
      <c r="DJ145" s="983"/>
      <c r="DK145" s="983"/>
      <c r="DL145" s="983"/>
      <c r="DM145" s="983"/>
      <c r="DN145" s="983"/>
      <c r="DO145" s="983"/>
      <c r="DP145" s="983"/>
    </row>
    <row r="146" spans="1:120" ht="39.6">
      <c r="E146" s="884" t="s">
        <v>1411</v>
      </c>
    </row>
    <row r="147" spans="1:120" ht="39.6">
      <c r="E147" s="884" t="s">
        <v>1412</v>
      </c>
    </row>
    <row r="148" spans="1:120">
      <c r="A148" s="883" t="s">
        <v>1200</v>
      </c>
    </row>
    <row r="149" spans="1:120">
      <c r="B149" s="883" t="s">
        <v>1261</v>
      </c>
    </row>
    <row r="150" spans="1:120">
      <c r="K150" s="884" t="s">
        <v>1203</v>
      </c>
    </row>
    <row r="151" spans="1:120" ht="39.6">
      <c r="B151" s="885" t="s">
        <v>79</v>
      </c>
      <c r="C151" s="885" t="s">
        <v>5</v>
      </c>
      <c r="D151" s="885" t="s">
        <v>274</v>
      </c>
      <c r="E151" s="885" t="s">
        <v>1262</v>
      </c>
      <c r="F151" s="885" t="s">
        <v>276</v>
      </c>
      <c r="G151" s="885" t="s">
        <v>277</v>
      </c>
      <c r="H151" s="885" t="s">
        <v>278</v>
      </c>
      <c r="I151" s="885" t="s">
        <v>279</v>
      </c>
      <c r="J151" s="885" t="s">
        <v>280</v>
      </c>
      <c r="K151" s="885" t="s">
        <v>82</v>
      </c>
    </row>
    <row r="152" spans="1:120">
      <c r="B152" s="886" t="s">
        <v>947</v>
      </c>
      <c r="C152" s="888" t="s">
        <v>1263</v>
      </c>
      <c r="D152" s="887">
        <v>0</v>
      </c>
      <c r="E152" s="887">
        <v>0</v>
      </c>
      <c r="F152" s="887">
        <v>0</v>
      </c>
      <c r="G152" s="887">
        <v>0</v>
      </c>
      <c r="H152" s="887">
        <v>0</v>
      </c>
      <c r="I152" s="887">
        <v>0</v>
      </c>
      <c r="J152" s="887">
        <v>0</v>
      </c>
      <c r="K152" s="887">
        <v>0</v>
      </c>
    </row>
    <row r="153" spans="1:120">
      <c r="B153" s="886" t="s">
        <v>150</v>
      </c>
      <c r="C153" s="886" t="s">
        <v>194</v>
      </c>
      <c r="D153" s="887">
        <v>0</v>
      </c>
      <c r="E153" s="887">
        <v>679848.8</v>
      </c>
      <c r="F153" s="887">
        <v>0</v>
      </c>
      <c r="G153" s="887">
        <v>0</v>
      </c>
      <c r="H153" s="887">
        <v>0</v>
      </c>
      <c r="I153" s="887">
        <v>0</v>
      </c>
      <c r="J153" s="887">
        <v>2500911.6</v>
      </c>
      <c r="K153" s="887">
        <v>465072.5</v>
      </c>
    </row>
    <row r="154" spans="1:120">
      <c r="B154" s="886" t="s">
        <v>948</v>
      </c>
      <c r="C154" s="886" t="s">
        <v>233</v>
      </c>
      <c r="D154" s="887">
        <v>0</v>
      </c>
      <c r="E154" s="887">
        <f>+E156</f>
        <v>41451.182730000008</v>
      </c>
      <c r="F154" s="887">
        <v>0</v>
      </c>
      <c r="G154" s="887">
        <f>+G156</f>
        <v>176285.38295</v>
      </c>
      <c r="H154" s="887">
        <v>0</v>
      </c>
      <c r="I154" s="887">
        <v>0</v>
      </c>
      <c r="J154" s="887">
        <f>+J156</f>
        <v>0</v>
      </c>
      <c r="K154" s="887">
        <v>2794917.7</v>
      </c>
    </row>
    <row r="155" spans="1:120">
      <c r="B155" s="886" t="s">
        <v>1231</v>
      </c>
      <c r="C155" s="886" t="s">
        <v>257</v>
      </c>
      <c r="D155" s="887">
        <v>0</v>
      </c>
      <c r="E155" s="887">
        <v>0</v>
      </c>
      <c r="F155" s="887">
        <v>0</v>
      </c>
      <c r="G155" s="887">
        <v>0</v>
      </c>
      <c r="H155" s="887">
        <v>0</v>
      </c>
      <c r="I155" s="887">
        <v>0</v>
      </c>
      <c r="J155" s="887">
        <v>0</v>
      </c>
      <c r="K155" s="887">
        <v>0</v>
      </c>
      <c r="L155" s="71"/>
    </row>
    <row r="156" spans="1:120">
      <c r="B156" s="886" t="s">
        <v>1232</v>
      </c>
      <c r="C156" s="886" t="s">
        <v>258</v>
      </c>
      <c r="D156" s="887">
        <v>0</v>
      </c>
      <c r="E156" s="887">
        <f>+[5]S4!$C$43/1000</f>
        <v>41451.182730000008</v>
      </c>
      <c r="F156" s="887">
        <v>0</v>
      </c>
      <c r="G156" s="887">
        <f>+[5]S4!$C$44/1000+65243.5+13986.38</f>
        <v>176285.38295</v>
      </c>
      <c r="H156" s="887">
        <v>0</v>
      </c>
      <c r="I156" s="887">
        <v>0</v>
      </c>
      <c r="J156" s="887">
        <v>0</v>
      </c>
      <c r="K156" s="887">
        <v>2794917.7</v>
      </c>
      <c r="L156" s="71" t="e">
        <f>+#REF!/1000</f>
        <v>#REF!</v>
      </c>
    </row>
    <row r="157" spans="1:120">
      <c r="B157" s="886" t="s">
        <v>1233</v>
      </c>
      <c r="C157" s="886" t="s">
        <v>259</v>
      </c>
      <c r="D157" s="887">
        <v>0</v>
      </c>
      <c r="E157" s="887">
        <v>0</v>
      </c>
      <c r="F157" s="887">
        <v>0</v>
      </c>
      <c r="G157" s="887">
        <v>0</v>
      </c>
      <c r="H157" s="887">
        <v>0</v>
      </c>
      <c r="I157" s="887">
        <v>0</v>
      </c>
      <c r="J157" s="887">
        <v>0</v>
      </c>
      <c r="K157" s="887">
        <v>0</v>
      </c>
      <c r="L157" s="71"/>
    </row>
    <row r="158" spans="1:120">
      <c r="B158" s="886" t="s">
        <v>1234</v>
      </c>
      <c r="C158" s="886" t="s">
        <v>260</v>
      </c>
      <c r="D158" s="887">
        <v>0</v>
      </c>
      <c r="E158" s="887">
        <v>0</v>
      </c>
      <c r="F158" s="887">
        <v>0</v>
      </c>
      <c r="G158" s="887">
        <v>0</v>
      </c>
      <c r="H158" s="887">
        <v>0</v>
      </c>
      <c r="I158" s="887">
        <v>0</v>
      </c>
      <c r="J158" s="887">
        <v>0</v>
      </c>
      <c r="K158" s="887">
        <v>0</v>
      </c>
      <c r="L158" s="71"/>
    </row>
    <row r="159" spans="1:120">
      <c r="B159" s="886" t="s">
        <v>949</v>
      </c>
      <c r="C159" s="886" t="s">
        <v>269</v>
      </c>
      <c r="D159" s="887">
        <v>0</v>
      </c>
      <c r="E159" s="887">
        <v>0</v>
      </c>
      <c r="F159" s="887">
        <v>0</v>
      </c>
      <c r="G159" s="887">
        <v>0</v>
      </c>
      <c r="H159" s="887">
        <v>0</v>
      </c>
      <c r="I159" s="887">
        <v>0</v>
      </c>
      <c r="J159" s="887">
        <v>0</v>
      </c>
      <c r="K159" s="887">
        <v>0</v>
      </c>
      <c r="L159" s="71"/>
    </row>
    <row r="160" spans="1:120">
      <c r="B160" s="886" t="s">
        <v>1235</v>
      </c>
      <c r="C160" s="886" t="s">
        <v>261</v>
      </c>
      <c r="D160" s="887">
        <v>0</v>
      </c>
      <c r="E160" s="887">
        <v>0</v>
      </c>
      <c r="F160" s="887">
        <v>0</v>
      </c>
      <c r="G160" s="887">
        <v>0</v>
      </c>
      <c r="H160" s="887">
        <v>0</v>
      </c>
      <c r="I160" s="887">
        <v>0</v>
      </c>
      <c r="J160" s="887">
        <v>0</v>
      </c>
      <c r="K160" s="887">
        <v>0</v>
      </c>
      <c r="L160" s="71"/>
    </row>
    <row r="161" spans="2:12">
      <c r="B161" s="886" t="s">
        <v>1237</v>
      </c>
      <c r="C161" s="886" t="s">
        <v>262</v>
      </c>
      <c r="D161" s="887">
        <v>0</v>
      </c>
      <c r="E161" s="887">
        <v>0</v>
      </c>
      <c r="F161" s="887">
        <v>0</v>
      </c>
      <c r="G161" s="887">
        <v>0</v>
      </c>
      <c r="H161" s="887">
        <v>0</v>
      </c>
      <c r="I161" s="887">
        <v>0</v>
      </c>
      <c r="J161" s="887">
        <v>0</v>
      </c>
      <c r="K161" s="887">
        <v>0</v>
      </c>
      <c r="L161" s="71"/>
    </row>
    <row r="162" spans="2:12">
      <c r="B162" s="886" t="s">
        <v>1239</v>
      </c>
      <c r="C162" s="886" t="s">
        <v>263</v>
      </c>
      <c r="D162" s="887">
        <v>0</v>
      </c>
      <c r="E162" s="887">
        <v>0</v>
      </c>
      <c r="F162" s="887">
        <v>0</v>
      </c>
      <c r="G162" s="887">
        <v>0</v>
      </c>
      <c r="H162" s="887">
        <v>0</v>
      </c>
      <c r="I162" s="887">
        <v>0</v>
      </c>
      <c r="J162" s="887">
        <v>0</v>
      </c>
      <c r="K162" s="887">
        <v>0</v>
      </c>
      <c r="L162" s="71"/>
    </row>
    <row r="163" spans="2:12">
      <c r="B163" s="886" t="s">
        <v>1242</v>
      </c>
      <c r="C163" s="886" t="s">
        <v>195</v>
      </c>
      <c r="D163" s="887">
        <v>0</v>
      </c>
      <c r="E163" s="887">
        <f>+E153+E156</f>
        <v>721299.98273000005</v>
      </c>
      <c r="F163" s="887">
        <v>0</v>
      </c>
      <c r="G163" s="887">
        <f>+G153+G156</f>
        <v>176285.38295</v>
      </c>
      <c r="H163" s="887">
        <v>0</v>
      </c>
      <c r="I163" s="887">
        <v>0</v>
      </c>
      <c r="J163" s="887">
        <v>2500911.6</v>
      </c>
      <c r="K163" s="887">
        <v>3180760.4</v>
      </c>
      <c r="L163" s="71">
        <f>+[7]Gobi!$M$97+[7]Gobi!$M$92</f>
        <v>3648889774.6100001</v>
      </c>
    </row>
    <row r="164" spans="2:12">
      <c r="B164" s="886" t="s">
        <v>950</v>
      </c>
      <c r="C164" s="888" t="s">
        <v>1264</v>
      </c>
      <c r="D164" s="887">
        <v>0</v>
      </c>
      <c r="E164" s="887">
        <v>0</v>
      </c>
      <c r="F164" s="887">
        <v>0</v>
      </c>
      <c r="G164" s="887">
        <v>0</v>
      </c>
      <c r="H164" s="887">
        <v>0</v>
      </c>
      <c r="I164" s="887">
        <v>0</v>
      </c>
      <c r="J164" s="887">
        <v>0</v>
      </c>
      <c r="K164" s="887">
        <v>0</v>
      </c>
      <c r="L164" s="71"/>
    </row>
    <row r="165" spans="2:12">
      <c r="B165" s="886" t="s">
        <v>951</v>
      </c>
      <c r="C165" s="886" t="s">
        <v>194</v>
      </c>
      <c r="D165" s="887">
        <v>0</v>
      </c>
      <c r="E165" s="887">
        <v>445320.2</v>
      </c>
      <c r="F165" s="887">
        <v>0</v>
      </c>
      <c r="G165" s="887">
        <v>65243.5</v>
      </c>
      <c r="H165" s="887">
        <v>0</v>
      </c>
      <c r="I165" s="887">
        <v>0</v>
      </c>
      <c r="J165" s="887">
        <v>671104.6</v>
      </c>
      <c r="K165" s="887">
        <v>1181668.3</v>
      </c>
      <c r="L165" s="71"/>
    </row>
    <row r="166" spans="2:12">
      <c r="B166" s="886" t="s">
        <v>953</v>
      </c>
      <c r="C166" s="886" t="s">
        <v>233</v>
      </c>
      <c r="D166" s="887">
        <v>0</v>
      </c>
      <c r="E166" s="887">
        <f>+E167</f>
        <v>136604.78815000001</v>
      </c>
      <c r="F166" s="887"/>
      <c r="G166" s="887">
        <f>+G167</f>
        <v>9737.3572800000002</v>
      </c>
      <c r="H166" s="887"/>
      <c r="I166" s="887"/>
      <c r="J166" s="887">
        <f>+J167</f>
        <v>402393.35746454401</v>
      </c>
      <c r="K166" s="887">
        <v>853065.8</v>
      </c>
      <c r="L166" s="71"/>
    </row>
    <row r="167" spans="2:12">
      <c r="B167" s="886" t="s">
        <v>1247</v>
      </c>
      <c r="C167" s="886" t="s">
        <v>285</v>
      </c>
      <c r="D167" s="887">
        <v>0</v>
      </c>
      <c r="E167" s="887">
        <f>+[5]S4!$C$51/1000</f>
        <v>136604.78815000001</v>
      </c>
      <c r="F167" s="887"/>
      <c r="G167" s="887">
        <f>+[5]S4!$C$52/1000</f>
        <v>9737.3572800000002</v>
      </c>
      <c r="H167" s="887"/>
      <c r="I167" s="887"/>
      <c r="J167" s="907">
        <f>818942.967464544-416519.61-30</f>
        <v>402393.35746454401</v>
      </c>
      <c r="K167" s="887">
        <v>853065.8</v>
      </c>
      <c r="L167" s="71" t="e">
        <f>+#REF!/1000</f>
        <v>#REF!</v>
      </c>
    </row>
    <row r="168" spans="2:12">
      <c r="B168" s="886" t="s">
        <v>1249</v>
      </c>
      <c r="C168" s="886" t="s">
        <v>286</v>
      </c>
      <c r="D168" s="887">
        <v>0</v>
      </c>
      <c r="E168" s="887"/>
      <c r="F168" s="887"/>
      <c r="G168" s="887"/>
      <c r="H168" s="887"/>
      <c r="I168" s="887"/>
      <c r="J168" s="887"/>
      <c r="K168" s="887">
        <v>0</v>
      </c>
      <c r="L168" s="71"/>
    </row>
    <row r="169" spans="2:12">
      <c r="B169" s="886" t="s">
        <v>1250</v>
      </c>
      <c r="C169" s="886" t="s">
        <v>1265</v>
      </c>
      <c r="D169" s="887">
        <v>0</v>
      </c>
      <c r="E169" s="887">
        <v>0</v>
      </c>
      <c r="F169" s="887">
        <v>0</v>
      </c>
      <c r="G169" s="887">
        <v>0</v>
      </c>
      <c r="H169" s="887">
        <v>0</v>
      </c>
      <c r="I169" s="887">
        <v>0</v>
      </c>
      <c r="J169" s="887">
        <v>0</v>
      </c>
      <c r="K169" s="887">
        <v>0</v>
      </c>
      <c r="L169" s="71"/>
    </row>
    <row r="170" spans="2:12">
      <c r="B170" s="886" t="s">
        <v>954</v>
      </c>
      <c r="C170" s="886" t="s">
        <v>1207</v>
      </c>
      <c r="D170" s="887">
        <v>0</v>
      </c>
      <c r="E170" s="887">
        <v>0</v>
      </c>
      <c r="F170" s="887">
        <v>0</v>
      </c>
      <c r="G170" s="887"/>
      <c r="H170" s="887">
        <v>0</v>
      </c>
      <c r="I170" s="887">
        <v>0</v>
      </c>
      <c r="J170" s="887">
        <v>0</v>
      </c>
      <c r="K170" s="887">
        <v>0</v>
      </c>
    </row>
    <row r="171" spans="2:12" ht="26.4">
      <c r="B171" s="886" t="s">
        <v>1251</v>
      </c>
      <c r="C171" s="886" t="s">
        <v>287</v>
      </c>
      <c r="D171" s="887">
        <v>0</v>
      </c>
      <c r="E171" s="887">
        <v>0</v>
      </c>
      <c r="F171" s="887">
        <v>0</v>
      </c>
      <c r="G171" s="887">
        <v>0</v>
      </c>
      <c r="H171" s="887">
        <v>0</v>
      </c>
      <c r="I171" s="887">
        <v>0</v>
      </c>
      <c r="J171" s="887">
        <v>0</v>
      </c>
      <c r="K171" s="887">
        <v>0</v>
      </c>
    </row>
    <row r="172" spans="2:12">
      <c r="B172" s="886" t="s">
        <v>1253</v>
      </c>
      <c r="C172" s="886" t="s">
        <v>1254</v>
      </c>
      <c r="D172" s="887">
        <v>0</v>
      </c>
      <c r="E172" s="887">
        <v>0</v>
      </c>
      <c r="F172" s="887">
        <v>0</v>
      </c>
      <c r="G172" s="887">
        <v>0</v>
      </c>
      <c r="H172" s="887">
        <v>0</v>
      </c>
      <c r="I172" s="887">
        <v>0</v>
      </c>
      <c r="J172" s="887">
        <v>0</v>
      </c>
      <c r="K172" s="887">
        <v>0</v>
      </c>
    </row>
    <row r="173" spans="2:12">
      <c r="B173" s="886" t="s">
        <v>1255</v>
      </c>
      <c r="C173" s="886" t="s">
        <v>271</v>
      </c>
      <c r="D173" s="887">
        <v>0</v>
      </c>
      <c r="E173" s="887">
        <v>0</v>
      </c>
      <c r="F173" s="887">
        <v>0</v>
      </c>
      <c r="G173" s="887">
        <v>0</v>
      </c>
      <c r="H173" s="887">
        <v>0</v>
      </c>
      <c r="I173" s="887">
        <v>0</v>
      </c>
      <c r="J173" s="887">
        <v>0</v>
      </c>
      <c r="K173" s="887">
        <v>0</v>
      </c>
    </row>
    <row r="174" spans="2:12">
      <c r="B174" s="886" t="s">
        <v>955</v>
      </c>
      <c r="C174" s="886" t="s">
        <v>195</v>
      </c>
      <c r="D174" s="887">
        <v>0</v>
      </c>
      <c r="E174" s="893">
        <f>+E165+E166</f>
        <v>581924.98814999999</v>
      </c>
      <c r="F174" s="893">
        <v>0</v>
      </c>
      <c r="G174" s="893">
        <f>+G165+G166</f>
        <v>74980.857279999997</v>
      </c>
      <c r="H174" s="893">
        <v>0</v>
      </c>
      <c r="I174" s="893">
        <v>0</v>
      </c>
      <c r="J174" s="893">
        <f>+J165+J166</f>
        <v>1073497.9574645441</v>
      </c>
      <c r="K174" s="893">
        <v>1181668.3</v>
      </c>
    </row>
    <row r="175" spans="2:12">
      <c r="B175" s="886" t="s">
        <v>961</v>
      </c>
      <c r="C175" s="888" t="s">
        <v>272</v>
      </c>
      <c r="D175" s="887">
        <v>0</v>
      </c>
      <c r="E175" s="887">
        <v>0</v>
      </c>
      <c r="F175" s="887">
        <v>0</v>
      </c>
      <c r="G175" s="887">
        <v>0</v>
      </c>
      <c r="H175" s="887">
        <v>0</v>
      </c>
      <c r="I175" s="887">
        <v>0</v>
      </c>
      <c r="J175" s="887">
        <v>0</v>
      </c>
      <c r="K175" s="887">
        <v>0</v>
      </c>
    </row>
    <row r="176" spans="2:12">
      <c r="B176" s="886" t="s">
        <v>967</v>
      </c>
      <c r="C176" s="886" t="s">
        <v>194</v>
      </c>
      <c r="D176" s="887">
        <v>0</v>
      </c>
      <c r="E176" s="887">
        <v>234528.6</v>
      </c>
      <c r="F176" s="887">
        <v>0</v>
      </c>
      <c r="G176" s="887">
        <v>13986.3</v>
      </c>
      <c r="H176" s="887">
        <v>0</v>
      </c>
      <c r="I176" s="887">
        <v>0</v>
      </c>
      <c r="J176" s="887">
        <v>1829807</v>
      </c>
      <c r="K176" s="887">
        <v>2078321.9</v>
      </c>
    </row>
    <row r="177" spans="1:120">
      <c r="B177" s="886" t="s">
        <v>968</v>
      </c>
      <c r="C177" s="886" t="s">
        <v>195</v>
      </c>
      <c r="D177" s="887">
        <v>0</v>
      </c>
      <c r="E177" s="887">
        <f>+E163-E174</f>
        <v>139374.99458000006</v>
      </c>
      <c r="F177" s="887">
        <v>0</v>
      </c>
      <c r="G177" s="887">
        <f>+G163-G174</f>
        <v>101304.52567</v>
      </c>
      <c r="H177" s="887">
        <v>0</v>
      </c>
      <c r="I177" s="887">
        <v>0</v>
      </c>
      <c r="J177" s="887">
        <f>+J163-J174</f>
        <v>1427413.642535456</v>
      </c>
      <c r="K177" s="887">
        <v>2078321.9</v>
      </c>
      <c r="L177" s="71">
        <f>+K177-balance!D22/1000</f>
        <v>897605.85427339864</v>
      </c>
    </row>
    <row r="178" spans="1:120">
      <c r="B178" s="883" t="s">
        <v>1204</v>
      </c>
      <c r="D178" s="283">
        <f>+E174-[5]S4!$H$51/1000</f>
        <v>68949.227849999908</v>
      </c>
      <c r="E178" s="283">
        <f>+[5]S4!$H$43/1000-[5]S4!$H$51/1000</f>
        <v>139375.03139999998</v>
      </c>
      <c r="F178" s="283">
        <f>+[5]S4!$B$44/1000-[5]S4!$B$52/1000</f>
        <v>13986.376770000032</v>
      </c>
      <c r="G178" s="283">
        <f>+[5]S4!$H$44/1000-[5]S4!$H$52/1000</f>
        <v>101304.52244000003</v>
      </c>
      <c r="J178" s="283">
        <f>+[4]Gobi!$M$96/1000</f>
        <v>1427413.6413400001</v>
      </c>
    </row>
    <row r="179" spans="1:120">
      <c r="B179" s="884" t="s">
        <v>1201</v>
      </c>
      <c r="D179" s="283">
        <f>+E163-[5]S4!$H$43/1000</f>
        <v>68949.191029999987</v>
      </c>
      <c r="E179" s="283">
        <f>+E177-E178</f>
        <v>-3.6819999921135604E-2</v>
      </c>
      <c r="G179" s="283">
        <f>+G177-G178</f>
        <v>3.2299999729730189E-3</v>
      </c>
      <c r="J179" s="283">
        <f>+J177-J178</f>
        <v>1.195455901324749E-3</v>
      </c>
    </row>
    <row r="180" spans="1:120">
      <c r="A180" t="s">
        <v>1201</v>
      </c>
      <c r="B180" t="s">
        <v>1201</v>
      </c>
      <c r="C180" t="s">
        <v>1201</v>
      </c>
      <c r="D180" t="s">
        <v>1201</v>
      </c>
      <c r="BP180" s="983"/>
      <c r="BQ180" s="983"/>
      <c r="BR180" s="983"/>
      <c r="BS180" s="983"/>
      <c r="BT180" s="983"/>
      <c r="BU180" s="983"/>
      <c r="BV180" s="983"/>
      <c r="BW180" s="983"/>
      <c r="BX180" s="983"/>
      <c r="BY180" s="983"/>
      <c r="BZ180" s="983"/>
      <c r="CA180" s="983"/>
      <c r="CB180" s="983"/>
      <c r="CC180" s="983"/>
      <c r="CD180" s="983"/>
      <c r="CE180" s="983"/>
      <c r="CF180" s="983"/>
      <c r="CG180" s="983"/>
      <c r="CH180" s="983"/>
      <c r="CI180" s="983"/>
      <c r="CJ180" s="983"/>
      <c r="CK180" s="983"/>
      <c r="CL180" s="983"/>
      <c r="CM180" s="983"/>
      <c r="CN180" s="983"/>
      <c r="CO180" s="983"/>
      <c r="CP180" s="983"/>
      <c r="CQ180" s="983"/>
      <c r="CR180" s="983"/>
      <c r="CS180" s="983"/>
      <c r="CT180" s="983"/>
      <c r="CU180" s="983"/>
      <c r="CV180" s="983"/>
      <c r="CW180" s="983"/>
      <c r="CX180" s="983"/>
      <c r="CY180" s="983"/>
      <c r="CZ180" s="983"/>
      <c r="DA180" s="983"/>
      <c r="DB180" s="983"/>
      <c r="DC180" s="983"/>
      <c r="DD180" s="983"/>
      <c r="DE180" s="983"/>
      <c r="DF180" s="983"/>
      <c r="DG180" s="983"/>
      <c r="DH180" s="983"/>
      <c r="DI180" s="983"/>
      <c r="DJ180" s="983"/>
      <c r="DK180" s="983"/>
      <c r="DL180" s="983"/>
      <c r="DM180" s="983"/>
      <c r="DN180" s="983"/>
      <c r="DO180" s="983"/>
      <c r="DP180" s="983"/>
    </row>
    <row r="181" spans="1:120" ht="39.6">
      <c r="E181" s="884" t="s">
        <v>1411</v>
      </c>
    </row>
    <row r="182" spans="1:120" ht="39.6">
      <c r="E182" s="884" t="s">
        <v>1412</v>
      </c>
    </row>
    <row r="183" spans="1:120">
      <c r="A183" s="883" t="s">
        <v>1200</v>
      </c>
    </row>
    <row r="184" spans="1:120">
      <c r="B184" s="883" t="s">
        <v>1266</v>
      </c>
    </row>
    <row r="185" spans="1:120">
      <c r="I185" s="884" t="s">
        <v>1203</v>
      </c>
    </row>
    <row r="186" spans="1:120">
      <c r="B186" s="885" t="s">
        <v>79</v>
      </c>
      <c r="C186" s="885" t="s">
        <v>5</v>
      </c>
      <c r="D186" s="885" t="s">
        <v>1267</v>
      </c>
      <c r="E186" s="885" t="s">
        <v>1415</v>
      </c>
      <c r="F186" s="885" t="s">
        <v>1416</v>
      </c>
      <c r="G186" s="885" t="s">
        <v>1417</v>
      </c>
      <c r="H186" s="885" t="s">
        <v>1416</v>
      </c>
      <c r="I186" s="885" t="s">
        <v>1417</v>
      </c>
    </row>
    <row r="187" spans="1:120">
      <c r="B187" s="886" t="s">
        <v>947</v>
      </c>
      <c r="C187" s="886"/>
      <c r="D187" s="887" t="s">
        <v>1260</v>
      </c>
      <c r="E187" s="887" t="s">
        <v>1201</v>
      </c>
      <c r="F187" s="887" t="s">
        <v>1260</v>
      </c>
      <c r="G187" s="887" t="s">
        <v>1260</v>
      </c>
      <c r="H187" s="887" t="s">
        <v>1260</v>
      </c>
      <c r="I187" s="887" t="s">
        <v>1260</v>
      </c>
    </row>
    <row r="188" spans="1:120">
      <c r="B188" s="886" t="s">
        <v>950</v>
      </c>
      <c r="C188" s="888" t="s">
        <v>82</v>
      </c>
      <c r="D188" s="887" t="s">
        <v>1260</v>
      </c>
      <c r="E188" s="887" t="s">
        <v>1201</v>
      </c>
      <c r="F188" s="887" t="s">
        <v>1260</v>
      </c>
      <c r="G188" s="887" t="s">
        <v>1260</v>
      </c>
      <c r="H188" s="887" t="s">
        <v>1260</v>
      </c>
      <c r="I188" s="887" t="s">
        <v>1260</v>
      </c>
    </row>
    <row r="189" spans="1:120">
      <c r="B189" s="883" t="s">
        <v>1204</v>
      </c>
    </row>
    <row r="190" spans="1:120">
      <c r="B190" s="884" t="s">
        <v>1201</v>
      </c>
    </row>
    <row r="191" spans="1:120">
      <c r="A191" t="s">
        <v>1201</v>
      </c>
      <c r="B191" t="s">
        <v>1201</v>
      </c>
      <c r="C191" t="s">
        <v>1201</v>
      </c>
      <c r="D191" t="s">
        <v>1201</v>
      </c>
      <c r="BP191" s="983"/>
      <c r="BQ191" s="983"/>
      <c r="BR191" s="983"/>
      <c r="BS191" s="983"/>
      <c r="BT191" s="983"/>
      <c r="BU191" s="983"/>
      <c r="BV191" s="983"/>
      <c r="BW191" s="983"/>
      <c r="BX191" s="983"/>
      <c r="BY191" s="983"/>
      <c r="BZ191" s="983"/>
      <c r="CA191" s="983"/>
      <c r="CB191" s="983"/>
      <c r="CC191" s="983"/>
      <c r="CD191" s="983"/>
      <c r="CE191" s="983"/>
      <c r="CF191" s="983"/>
      <c r="CG191" s="983"/>
      <c r="CH191" s="983"/>
      <c r="CI191" s="983"/>
      <c r="CJ191" s="983"/>
      <c r="CK191" s="983"/>
      <c r="CL191" s="983"/>
      <c r="CM191" s="983"/>
      <c r="CN191" s="983"/>
      <c r="CO191" s="983"/>
      <c r="CP191" s="983"/>
      <c r="CQ191" s="983"/>
      <c r="CR191" s="983"/>
      <c r="CS191" s="983"/>
      <c r="CT191" s="983"/>
      <c r="CU191" s="983"/>
      <c r="CV191" s="983"/>
      <c r="CW191" s="983"/>
      <c r="CX191" s="983"/>
      <c r="CY191" s="983"/>
      <c r="CZ191" s="983"/>
      <c r="DA191" s="983"/>
      <c r="DB191" s="983"/>
      <c r="DC191" s="983"/>
      <c r="DD191" s="983"/>
      <c r="DE191" s="983"/>
      <c r="DF191" s="983"/>
      <c r="DG191" s="983"/>
      <c r="DH191" s="983"/>
      <c r="DI191" s="983"/>
      <c r="DJ191" s="983"/>
      <c r="DK191" s="983"/>
      <c r="DL191" s="983"/>
      <c r="DM191" s="983"/>
      <c r="DN191" s="983"/>
      <c r="DO191" s="983"/>
      <c r="DP191" s="983"/>
    </row>
    <row r="192" spans="1:120" ht="39.6">
      <c r="E192" s="884" t="s">
        <v>1411</v>
      </c>
    </row>
    <row r="193" spans="1:120" ht="39.6">
      <c r="E193" s="884" t="s">
        <v>1412</v>
      </c>
    </row>
    <row r="194" spans="1:120">
      <c r="A194" s="883" t="s">
        <v>1200</v>
      </c>
    </row>
    <row r="195" spans="1:120">
      <c r="B195" s="896" t="s">
        <v>1268</v>
      </c>
      <c r="C195" s="897"/>
    </row>
    <row r="196" spans="1:120">
      <c r="G196" s="884" t="s">
        <v>1203</v>
      </c>
    </row>
    <row r="197" spans="1:120" ht="26.4">
      <c r="B197" s="885" t="s">
        <v>79</v>
      </c>
      <c r="C197" s="885" t="s">
        <v>5</v>
      </c>
      <c r="D197" s="885" t="s">
        <v>303</v>
      </c>
      <c r="E197" s="885" t="s">
        <v>304</v>
      </c>
      <c r="F197" s="885" t="s">
        <v>303</v>
      </c>
      <c r="G197" s="885" t="s">
        <v>304</v>
      </c>
    </row>
    <row r="198" spans="1:120">
      <c r="B198" s="886" t="s">
        <v>947</v>
      </c>
      <c r="C198" s="886" t="s">
        <v>1269</v>
      </c>
      <c r="D198" s="887" t="s">
        <v>1260</v>
      </c>
      <c r="E198" s="887">
        <f>+balance!D24/1000</f>
        <v>0</v>
      </c>
      <c r="F198" s="887">
        <v>100</v>
      </c>
      <c r="G198" s="887">
        <f>+E198</f>
        <v>0</v>
      </c>
    </row>
    <row r="199" spans="1:120">
      <c r="B199" s="886" t="s">
        <v>1201</v>
      </c>
      <c r="C199" s="888" t="s">
        <v>82</v>
      </c>
      <c r="D199" s="887" t="s">
        <v>1260</v>
      </c>
      <c r="E199" s="887">
        <f>+E198</f>
        <v>0</v>
      </c>
      <c r="F199" s="887" t="s">
        <v>1260</v>
      </c>
      <c r="G199" s="887">
        <f>+G198</f>
        <v>0</v>
      </c>
      <c r="H199" s="891" t="e">
        <f>+G199/balance!D24/1000</f>
        <v>#DIV/0!</v>
      </c>
    </row>
    <row r="200" spans="1:120">
      <c r="A200" t="s">
        <v>1201</v>
      </c>
      <c r="B200" t="s">
        <v>1201</v>
      </c>
      <c r="C200" t="s">
        <v>1201</v>
      </c>
      <c r="D200" t="s">
        <v>1201</v>
      </c>
      <c r="BP200" s="983"/>
      <c r="BQ200" s="983"/>
      <c r="BR200" s="983"/>
      <c r="BS200" s="983"/>
      <c r="BT200" s="983"/>
      <c r="BU200" s="983"/>
      <c r="BV200" s="983"/>
      <c r="BW200" s="983"/>
      <c r="BX200" s="983"/>
      <c r="BY200" s="983"/>
      <c r="BZ200" s="983"/>
      <c r="CA200" s="983"/>
      <c r="CB200" s="983"/>
      <c r="CC200" s="983"/>
      <c r="CD200" s="983"/>
      <c r="CE200" s="983"/>
      <c r="CF200" s="983"/>
      <c r="CG200" s="983"/>
      <c r="CH200" s="983"/>
      <c r="CI200" s="983"/>
      <c r="CJ200" s="983"/>
      <c r="CK200" s="983"/>
      <c r="CL200" s="983"/>
      <c r="CM200" s="983"/>
      <c r="CN200" s="983"/>
      <c r="CO200" s="983"/>
      <c r="CP200" s="983"/>
      <c r="CQ200" s="983"/>
      <c r="CR200" s="983"/>
      <c r="CS200" s="983"/>
      <c r="CT200" s="983"/>
      <c r="CU200" s="983"/>
      <c r="CV200" s="983"/>
      <c r="CW200" s="983"/>
      <c r="CX200" s="983"/>
      <c r="CY200" s="983"/>
      <c r="CZ200" s="983"/>
      <c r="DA200" s="983"/>
      <c r="DB200" s="983"/>
      <c r="DC200" s="983"/>
      <c r="DD200" s="983"/>
      <c r="DE200" s="983"/>
      <c r="DF200" s="983"/>
      <c r="DG200" s="983"/>
      <c r="DH200" s="983"/>
      <c r="DI200" s="983"/>
      <c r="DJ200" s="983"/>
      <c r="DK200" s="983"/>
      <c r="DL200" s="983"/>
      <c r="DM200" s="983"/>
      <c r="DN200" s="983"/>
      <c r="DO200" s="983"/>
      <c r="DP200" s="983"/>
    </row>
    <row r="201" spans="1:120" ht="39.6">
      <c r="E201" s="884" t="s">
        <v>1411</v>
      </c>
    </row>
    <row r="202" spans="1:120" ht="39.6">
      <c r="E202" s="884" t="s">
        <v>1412</v>
      </c>
    </row>
    <row r="203" spans="1:120">
      <c r="A203" s="883" t="s">
        <v>1200</v>
      </c>
    </row>
    <row r="204" spans="1:120">
      <c r="B204" s="896" t="s">
        <v>1271</v>
      </c>
    </row>
    <row r="205" spans="1:120">
      <c r="E205" s="884" t="s">
        <v>1203</v>
      </c>
    </row>
    <row r="206" spans="1:120">
      <c r="B206" s="885" t="s">
        <v>79</v>
      </c>
      <c r="C206" s="885" t="s">
        <v>5</v>
      </c>
      <c r="D206" s="885" t="s">
        <v>195</v>
      </c>
      <c r="E206" s="885" t="s">
        <v>195</v>
      </c>
    </row>
    <row r="207" spans="1:120">
      <c r="B207" s="886" t="s">
        <v>947</v>
      </c>
      <c r="C207" s="886"/>
      <c r="D207" s="887">
        <v>153897.4</v>
      </c>
      <c r="E207" s="887" t="e">
        <f>+#REF!/1000</f>
        <v>#REF!</v>
      </c>
    </row>
    <row r="208" spans="1:120">
      <c r="B208" s="886" t="s">
        <v>1201</v>
      </c>
      <c r="C208" s="888" t="s">
        <v>82</v>
      </c>
      <c r="D208" s="887">
        <f>+D207</f>
        <v>153897.4</v>
      </c>
      <c r="E208" s="887" t="e">
        <f>+E207</f>
        <v>#REF!</v>
      </c>
      <c r="F208" s="71" t="e">
        <f>+E208-balance!D28/1000</f>
        <v>#REF!</v>
      </c>
    </row>
    <row r="209" spans="1:120">
      <c r="B209" s="883" t="s">
        <v>1204</v>
      </c>
    </row>
    <row r="210" spans="1:120">
      <c r="B210" s="884" t="s">
        <v>1201</v>
      </c>
    </row>
    <row r="211" spans="1:120">
      <c r="A211" t="s">
        <v>1201</v>
      </c>
      <c r="B211" t="s">
        <v>1201</v>
      </c>
      <c r="C211" t="s">
        <v>1201</v>
      </c>
      <c r="D211" t="s">
        <v>1201</v>
      </c>
      <c r="BP211" s="983"/>
      <c r="BQ211" s="983"/>
      <c r="BR211" s="983"/>
      <c r="BS211" s="983"/>
      <c r="BT211" s="983"/>
      <c r="BU211" s="983"/>
      <c r="BV211" s="983"/>
      <c r="BW211" s="983"/>
      <c r="BX211" s="983"/>
      <c r="BY211" s="983"/>
      <c r="BZ211" s="983"/>
      <c r="CA211" s="983"/>
      <c r="CB211" s="983"/>
      <c r="CC211" s="983"/>
      <c r="CD211" s="983"/>
      <c r="CE211" s="983"/>
      <c r="CF211" s="983"/>
      <c r="CG211" s="983"/>
      <c r="CH211" s="983"/>
      <c r="CI211" s="983"/>
      <c r="CJ211" s="983"/>
      <c r="CK211" s="983"/>
      <c r="CL211" s="983"/>
      <c r="CM211" s="983"/>
      <c r="CN211" s="983"/>
      <c r="CO211" s="983"/>
      <c r="CP211" s="983"/>
      <c r="CQ211" s="983"/>
      <c r="CR211" s="983"/>
      <c r="CS211" s="983"/>
      <c r="CT211" s="983"/>
      <c r="CU211" s="983"/>
      <c r="CV211" s="983"/>
      <c r="CW211" s="983"/>
      <c r="CX211" s="983"/>
      <c r="CY211" s="983"/>
      <c r="CZ211" s="983"/>
      <c r="DA211" s="983"/>
      <c r="DB211" s="983"/>
      <c r="DC211" s="983"/>
      <c r="DD211" s="983"/>
      <c r="DE211" s="983"/>
      <c r="DF211" s="983"/>
      <c r="DG211" s="983"/>
      <c r="DH211" s="983"/>
      <c r="DI211" s="983"/>
      <c r="DJ211" s="983"/>
      <c r="DK211" s="983"/>
      <c r="DL211" s="983"/>
      <c r="DM211" s="983"/>
      <c r="DN211" s="983"/>
      <c r="DO211" s="983"/>
      <c r="DP211" s="983"/>
    </row>
    <row r="212" spans="1:120" ht="39.6">
      <c r="E212" s="884" t="s">
        <v>1411</v>
      </c>
    </row>
    <row r="213" spans="1:120" ht="39.6">
      <c r="E213" s="884" t="s">
        <v>1412</v>
      </c>
    </row>
    <row r="214" spans="1:120">
      <c r="A214" s="883" t="s">
        <v>1200</v>
      </c>
    </row>
    <row r="215" spans="1:120">
      <c r="B215" s="896" t="s">
        <v>1272</v>
      </c>
    </row>
    <row r="216" spans="1:120">
      <c r="E216" s="884" t="s">
        <v>1203</v>
      </c>
    </row>
    <row r="217" spans="1:120">
      <c r="B217" s="885" t="s">
        <v>79</v>
      </c>
      <c r="C217" s="885" t="s">
        <v>5</v>
      </c>
      <c r="D217" s="885" t="s">
        <v>195</v>
      </c>
      <c r="E217" s="885" t="s">
        <v>195</v>
      </c>
    </row>
    <row r="218" spans="1:120">
      <c r="B218" s="886" t="s">
        <v>1220</v>
      </c>
      <c r="C218" s="886" t="s">
        <v>313</v>
      </c>
      <c r="D218" s="887">
        <v>337212.6</v>
      </c>
      <c r="E218" s="887">
        <f>+balance!D35/1000</f>
        <v>13906483.842022713</v>
      </c>
    </row>
    <row r="219" spans="1:120">
      <c r="B219" s="886" t="s">
        <v>1206</v>
      </c>
      <c r="C219" s="886" t="s">
        <v>314</v>
      </c>
      <c r="D219" s="887">
        <v>0</v>
      </c>
      <c r="E219" s="887">
        <v>0</v>
      </c>
    </row>
    <row r="220" spans="1:120">
      <c r="B220" s="886" t="s">
        <v>1273</v>
      </c>
      <c r="C220" s="886"/>
      <c r="D220" s="887">
        <v>0</v>
      </c>
      <c r="E220" s="887">
        <v>0</v>
      </c>
    </row>
    <row r="221" spans="1:120">
      <c r="B221" s="886" t="s">
        <v>1201</v>
      </c>
      <c r="C221" s="888" t="s">
        <v>82</v>
      </c>
      <c r="D221" s="887">
        <f>+D218</f>
        <v>337212.6</v>
      </c>
      <c r="E221" s="887">
        <f>+E218</f>
        <v>13906483.842022713</v>
      </c>
      <c r="F221" s="892">
        <f>+E221-balance!D35/1000</f>
        <v>0</v>
      </c>
    </row>
    <row r="222" spans="1:120">
      <c r="A222" t="s">
        <v>1201</v>
      </c>
      <c r="B222" t="s">
        <v>1201</v>
      </c>
      <c r="C222" t="s">
        <v>1201</v>
      </c>
      <c r="D222" t="s">
        <v>1201</v>
      </c>
      <c r="BP222" s="983"/>
      <c r="BQ222" s="983"/>
      <c r="BR222" s="983"/>
      <c r="BS222" s="983"/>
      <c r="BT222" s="983"/>
      <c r="BU222" s="983"/>
      <c r="BV222" s="983"/>
      <c r="BW222" s="983"/>
      <c r="BX222" s="983"/>
      <c r="BY222" s="983"/>
      <c r="BZ222" s="983"/>
      <c r="CA222" s="983"/>
      <c r="CB222" s="983"/>
      <c r="CC222" s="983"/>
      <c r="CD222" s="983"/>
      <c r="CE222" s="983"/>
      <c r="CF222" s="983"/>
      <c r="CG222" s="983"/>
      <c r="CH222" s="983"/>
      <c r="CI222" s="983"/>
      <c r="CJ222" s="983"/>
      <c r="CK222" s="983"/>
      <c r="CL222" s="983"/>
      <c r="CM222" s="983"/>
      <c r="CN222" s="983"/>
      <c r="CO222" s="983"/>
      <c r="CP222" s="983"/>
      <c r="CQ222" s="983"/>
      <c r="CR222" s="983"/>
      <c r="CS222" s="983"/>
      <c r="CT222" s="983"/>
      <c r="CU222" s="983"/>
      <c r="CV222" s="983"/>
      <c r="CW222" s="983"/>
      <c r="CX222" s="983"/>
      <c r="CY222" s="983"/>
      <c r="CZ222" s="983"/>
      <c r="DA222" s="983"/>
      <c r="DB222" s="983"/>
      <c r="DC222" s="983"/>
      <c r="DD222" s="983"/>
      <c r="DE222" s="983"/>
      <c r="DF222" s="983"/>
      <c r="DG222" s="983"/>
      <c r="DH222" s="983"/>
      <c r="DI222" s="983"/>
      <c r="DJ222" s="983"/>
      <c r="DK222" s="983"/>
      <c r="DL222" s="983"/>
      <c r="DM222" s="983"/>
      <c r="DN222" s="983"/>
      <c r="DO222" s="983"/>
      <c r="DP222" s="983"/>
    </row>
    <row r="223" spans="1:120" ht="39.6">
      <c r="E223" s="884" t="s">
        <v>1411</v>
      </c>
    </row>
    <row r="224" spans="1:120" ht="39.6">
      <c r="E224" s="884" t="s">
        <v>1412</v>
      </c>
    </row>
    <row r="225" spans="1:120">
      <c r="A225" s="883" t="s">
        <v>1200</v>
      </c>
    </row>
    <row r="226" spans="1:120">
      <c r="B226" s="896" t="s">
        <v>1274</v>
      </c>
    </row>
    <row r="227" spans="1:120">
      <c r="E227" s="884" t="s">
        <v>1203</v>
      </c>
    </row>
    <row r="228" spans="1:120">
      <c r="B228" s="885" t="s">
        <v>79</v>
      </c>
      <c r="C228" s="885" t="s">
        <v>5</v>
      </c>
      <c r="D228" s="885" t="s">
        <v>195</v>
      </c>
      <c r="E228" s="885" t="s">
        <v>195</v>
      </c>
    </row>
    <row r="229" spans="1:120">
      <c r="B229" s="886" t="s">
        <v>1220</v>
      </c>
      <c r="C229" s="886" t="s">
        <v>1275</v>
      </c>
      <c r="D229" s="887">
        <v>0</v>
      </c>
      <c r="E229" s="887" t="e">
        <f>+#REF!/1000</f>
        <v>#REF!</v>
      </c>
    </row>
    <row r="230" spans="1:120">
      <c r="B230" s="886" t="s">
        <v>1206</v>
      </c>
      <c r="C230" s="886" t="s">
        <v>1276</v>
      </c>
      <c r="D230" s="887">
        <v>0</v>
      </c>
      <c r="E230" s="887" t="e">
        <f>+#REF!</f>
        <v>#REF!</v>
      </c>
    </row>
    <row r="231" spans="1:120">
      <c r="B231" s="886" t="s">
        <v>1273</v>
      </c>
      <c r="C231" s="886" t="s">
        <v>1277</v>
      </c>
      <c r="D231" s="887">
        <v>0</v>
      </c>
      <c r="E231" s="887" t="e">
        <f>+#REF!/1000</f>
        <v>#REF!</v>
      </c>
    </row>
    <row r="232" spans="1:120">
      <c r="B232" s="886" t="s">
        <v>1278</v>
      </c>
      <c r="C232" s="886" t="s">
        <v>1279</v>
      </c>
      <c r="D232" s="887">
        <v>0</v>
      </c>
      <c r="E232" s="887">
        <v>0</v>
      </c>
    </row>
    <row r="233" spans="1:120">
      <c r="B233" s="886" t="s">
        <v>1280</v>
      </c>
      <c r="C233" s="886" t="s">
        <v>1281</v>
      </c>
      <c r="D233" s="887">
        <v>0</v>
      </c>
      <c r="E233" s="887">
        <v>0</v>
      </c>
    </row>
    <row r="234" spans="1:120">
      <c r="B234" s="886" t="s">
        <v>1282</v>
      </c>
      <c r="C234" s="886" t="s">
        <v>1269</v>
      </c>
      <c r="D234" s="887">
        <v>289522.59999999998</v>
      </c>
      <c r="E234" s="887" t="e">
        <f>+#REF!/1000+#REF!/1000</f>
        <v>#REF!</v>
      </c>
    </row>
    <row r="235" spans="1:120">
      <c r="B235" s="886" t="s">
        <v>1282</v>
      </c>
      <c r="C235" s="886"/>
      <c r="D235" s="887">
        <v>0</v>
      </c>
      <c r="E235" s="887">
        <v>0</v>
      </c>
    </row>
    <row r="236" spans="1:120">
      <c r="B236" s="886" t="s">
        <v>1201</v>
      </c>
      <c r="C236" s="888" t="s">
        <v>82</v>
      </c>
      <c r="D236" s="887">
        <f>SUM(D229:D235)</f>
        <v>289522.59999999998</v>
      </c>
      <c r="E236" s="887" t="e">
        <f>SUM(E229:E235)</f>
        <v>#REF!</v>
      </c>
      <c r="F236" s="892" t="e">
        <f>+E236-balance!D37/1000</f>
        <v>#REF!</v>
      </c>
    </row>
    <row r="237" spans="1:120">
      <c r="A237" t="s">
        <v>1201</v>
      </c>
      <c r="B237" t="s">
        <v>1201</v>
      </c>
      <c r="C237" t="s">
        <v>1201</v>
      </c>
      <c r="D237" t="s">
        <v>1201</v>
      </c>
      <c r="BP237" s="983"/>
      <c r="BQ237" s="983"/>
      <c r="BR237" s="983"/>
      <c r="BS237" s="983"/>
      <c r="BT237" s="983"/>
      <c r="BU237" s="983"/>
      <c r="BV237" s="983"/>
      <c r="BW237" s="983"/>
      <c r="BX237" s="983"/>
      <c r="BY237" s="983"/>
      <c r="BZ237" s="983"/>
      <c r="CA237" s="983"/>
      <c r="CB237" s="983"/>
      <c r="CC237" s="983"/>
      <c r="CD237" s="983"/>
      <c r="CE237" s="983"/>
      <c r="CF237" s="983"/>
      <c r="CG237" s="983"/>
      <c r="CH237" s="983"/>
      <c r="CI237" s="983"/>
      <c r="CJ237" s="983"/>
      <c r="CK237" s="983"/>
      <c r="CL237" s="983"/>
      <c r="CM237" s="983"/>
      <c r="CN237" s="983"/>
      <c r="CO237" s="983"/>
      <c r="CP237" s="983"/>
      <c r="CQ237" s="983"/>
      <c r="CR237" s="983"/>
      <c r="CS237" s="983"/>
      <c r="CT237" s="983"/>
      <c r="CU237" s="983"/>
      <c r="CV237" s="983"/>
      <c r="CW237" s="983"/>
      <c r="CX237" s="983"/>
      <c r="CY237" s="983"/>
      <c r="CZ237" s="983"/>
      <c r="DA237" s="983"/>
      <c r="DB237" s="983"/>
      <c r="DC237" s="983"/>
      <c r="DD237" s="983"/>
      <c r="DE237" s="983"/>
      <c r="DF237" s="983"/>
      <c r="DG237" s="983"/>
      <c r="DH237" s="983"/>
      <c r="DI237" s="983"/>
      <c r="DJ237" s="983"/>
      <c r="DK237" s="983"/>
      <c r="DL237" s="983"/>
      <c r="DM237" s="983"/>
      <c r="DN237" s="983"/>
      <c r="DO237" s="983"/>
      <c r="DP237" s="983"/>
    </row>
    <row r="238" spans="1:120" ht="39.6">
      <c r="E238" s="884" t="s">
        <v>1411</v>
      </c>
    </row>
    <row r="239" spans="1:120" ht="39.6">
      <c r="E239" s="884" t="s">
        <v>1412</v>
      </c>
    </row>
    <row r="240" spans="1:120">
      <c r="A240" s="883" t="s">
        <v>1200</v>
      </c>
    </row>
    <row r="241" spans="1:120">
      <c r="B241" s="896" t="s">
        <v>1283</v>
      </c>
    </row>
    <row r="242" spans="1:120">
      <c r="G242" s="884" t="s">
        <v>1203</v>
      </c>
    </row>
    <row r="243" spans="1:120">
      <c r="B243" s="885" t="s">
        <v>79</v>
      </c>
      <c r="C243" s="885" t="s">
        <v>5</v>
      </c>
      <c r="D243" s="885" t="s">
        <v>322</v>
      </c>
      <c r="E243" s="885" t="s">
        <v>323</v>
      </c>
      <c r="F243" s="885" t="s">
        <v>322</v>
      </c>
      <c r="G243" s="885" t="s">
        <v>323</v>
      </c>
    </row>
    <row r="244" spans="1:120">
      <c r="B244" s="886" t="s">
        <v>1220</v>
      </c>
      <c r="C244" s="886" t="s">
        <v>313</v>
      </c>
      <c r="D244" s="887">
        <v>111413088</v>
      </c>
      <c r="E244" s="887">
        <v>26400</v>
      </c>
      <c r="F244" s="887">
        <f>+[4]Gobi!$M$153/1000</f>
        <v>265445612.72209001</v>
      </c>
      <c r="G244" s="887">
        <f>42181818.1681818/1000</f>
        <v>42181.818168181802</v>
      </c>
    </row>
    <row r="245" spans="1:120">
      <c r="B245" s="886" t="s">
        <v>1206</v>
      </c>
      <c r="C245" s="886" t="s">
        <v>314</v>
      </c>
      <c r="D245" s="887">
        <v>0</v>
      </c>
      <c r="E245" s="887">
        <v>0</v>
      </c>
      <c r="F245" s="887">
        <v>0</v>
      </c>
      <c r="G245" s="887">
        <v>0</v>
      </c>
    </row>
    <row r="246" spans="1:120">
      <c r="B246" s="886" t="s">
        <v>1273</v>
      </c>
      <c r="C246" s="886"/>
      <c r="D246" s="887">
        <v>0</v>
      </c>
      <c r="E246" s="887">
        <v>0</v>
      </c>
      <c r="F246" s="887">
        <v>0</v>
      </c>
      <c r="G246" s="887">
        <v>0</v>
      </c>
    </row>
    <row r="247" spans="1:120">
      <c r="B247" s="886" t="s">
        <v>1201</v>
      </c>
      <c r="C247" s="888" t="s">
        <v>82</v>
      </c>
      <c r="D247" s="887">
        <v>111413088</v>
      </c>
      <c r="E247" s="887">
        <v>26400</v>
      </c>
      <c r="F247" s="887">
        <f>+F244</f>
        <v>265445612.72209001</v>
      </c>
      <c r="G247" s="887">
        <v>15236.1</v>
      </c>
      <c r="H247" s="892"/>
    </row>
    <row r="248" spans="1:120">
      <c r="A248" t="s">
        <v>1201</v>
      </c>
      <c r="B248" t="s">
        <v>1201</v>
      </c>
      <c r="C248" t="s">
        <v>1201</v>
      </c>
      <c r="D248" t="s">
        <v>1201</v>
      </c>
      <c r="BP248" s="983"/>
      <c r="BQ248" s="983"/>
      <c r="BR248" s="983"/>
      <c r="BS248" s="983"/>
      <c r="BT248" s="983"/>
      <c r="BU248" s="983"/>
      <c r="BV248" s="983"/>
      <c r="BW248" s="983"/>
      <c r="BX248" s="983"/>
      <c r="BY248" s="983"/>
      <c r="BZ248" s="983"/>
      <c r="CA248" s="983"/>
      <c r="CB248" s="983"/>
      <c r="CC248" s="983"/>
      <c r="CD248" s="983"/>
      <c r="CE248" s="983"/>
      <c r="CF248" s="983"/>
      <c r="CG248" s="983"/>
      <c r="CH248" s="983"/>
      <c r="CI248" s="983"/>
      <c r="CJ248" s="983"/>
      <c r="CK248" s="983"/>
      <c r="CL248" s="983"/>
      <c r="CM248" s="983"/>
      <c r="CN248" s="983"/>
      <c r="CO248" s="983"/>
      <c r="CP248" s="983"/>
      <c r="CQ248" s="983"/>
      <c r="CR248" s="983"/>
      <c r="CS248" s="983"/>
      <c r="CT248" s="983"/>
      <c r="CU248" s="983"/>
      <c r="CV248" s="983"/>
      <c r="CW248" s="983"/>
      <c r="CX248" s="983"/>
      <c r="CY248" s="983"/>
      <c r="CZ248" s="983"/>
      <c r="DA248" s="983"/>
      <c r="DB248" s="983"/>
      <c r="DC248" s="983"/>
      <c r="DD248" s="983"/>
      <c r="DE248" s="983"/>
      <c r="DF248" s="983"/>
      <c r="DG248" s="983"/>
      <c r="DH248" s="983"/>
      <c r="DI248" s="983"/>
      <c r="DJ248" s="983"/>
      <c r="DK248" s="983"/>
      <c r="DL248" s="983"/>
      <c r="DM248" s="983"/>
      <c r="DN248" s="983"/>
      <c r="DO248" s="983"/>
      <c r="DP248" s="983"/>
    </row>
    <row r="249" spans="1:120" ht="39.6">
      <c r="E249" s="884" t="s">
        <v>1411</v>
      </c>
    </row>
    <row r="250" spans="1:120" ht="39.6">
      <c r="E250" s="884" t="s">
        <v>1412</v>
      </c>
    </row>
    <row r="251" spans="1:120">
      <c r="A251" s="883" t="s">
        <v>1200</v>
      </c>
    </row>
    <row r="252" spans="1:120">
      <c r="B252" s="883" t="s">
        <v>1284</v>
      </c>
    </row>
    <row r="253" spans="1:120">
      <c r="H253" s="884" t="s">
        <v>1203</v>
      </c>
    </row>
    <row r="254" spans="1:120" ht="39.6">
      <c r="B254" s="885" t="s">
        <v>79</v>
      </c>
      <c r="C254" s="885" t="s">
        <v>5</v>
      </c>
      <c r="D254" s="885" t="s">
        <v>195</v>
      </c>
      <c r="E254" s="885" t="s">
        <v>206</v>
      </c>
      <c r="F254" s="885" t="s">
        <v>325</v>
      </c>
      <c r="G254" s="885" t="s">
        <v>326</v>
      </c>
      <c r="H254" s="885" t="s">
        <v>195</v>
      </c>
    </row>
    <row r="255" spans="1:120">
      <c r="B255" s="886" t="s">
        <v>1220</v>
      </c>
      <c r="C255" s="886" t="s">
        <v>1285</v>
      </c>
      <c r="D255" s="887">
        <v>0</v>
      </c>
      <c r="E255" s="887">
        <v>0</v>
      </c>
      <c r="F255" s="887">
        <v>0</v>
      </c>
      <c r="G255" s="887">
        <v>0</v>
      </c>
      <c r="H255" s="887">
        <v>0</v>
      </c>
    </row>
    <row r="256" spans="1:120">
      <c r="B256" s="886" t="s">
        <v>1206</v>
      </c>
      <c r="C256" s="886" t="s">
        <v>328</v>
      </c>
      <c r="D256" s="887">
        <v>0</v>
      </c>
      <c r="E256" s="887">
        <v>0</v>
      </c>
      <c r="F256" s="887">
        <v>0</v>
      </c>
      <c r="G256" s="887">
        <v>0</v>
      </c>
      <c r="H256" s="887">
        <v>0</v>
      </c>
    </row>
    <row r="257" spans="1:120">
      <c r="B257" s="886" t="s">
        <v>1273</v>
      </c>
      <c r="C257" s="886" t="s">
        <v>1286</v>
      </c>
      <c r="D257" s="887">
        <v>0</v>
      </c>
      <c r="E257" s="887">
        <v>0</v>
      </c>
      <c r="F257" s="887">
        <v>0</v>
      </c>
      <c r="G257" s="887">
        <v>0</v>
      </c>
      <c r="H257" s="887">
        <v>0</v>
      </c>
    </row>
    <row r="258" spans="1:120">
      <c r="B258" s="886" t="s">
        <v>1201</v>
      </c>
      <c r="C258" s="888" t="s">
        <v>82</v>
      </c>
      <c r="D258" s="887">
        <v>0</v>
      </c>
      <c r="E258" s="887">
        <v>0</v>
      </c>
      <c r="F258" s="887">
        <v>0</v>
      </c>
      <c r="G258" s="887">
        <v>0</v>
      </c>
      <c r="H258" s="887">
        <v>0</v>
      </c>
    </row>
    <row r="259" spans="1:120">
      <c r="B259" s="883" t="s">
        <v>1204</v>
      </c>
    </row>
    <row r="260" spans="1:120">
      <c r="B260" s="884" t="s">
        <v>1201</v>
      </c>
    </row>
    <row r="261" spans="1:120">
      <c r="A261" t="s">
        <v>1201</v>
      </c>
      <c r="B261" t="s">
        <v>1201</v>
      </c>
      <c r="C261" t="s">
        <v>1201</v>
      </c>
      <c r="D261" t="s">
        <v>1201</v>
      </c>
      <c r="BP261" s="983"/>
      <c r="BQ261" s="983"/>
      <c r="BR261" s="983"/>
      <c r="BS261" s="983"/>
      <c r="BT261" s="983"/>
      <c r="BU261" s="983"/>
      <c r="BV261" s="983"/>
      <c r="BW261" s="983"/>
      <c r="BX261" s="983"/>
      <c r="BY261" s="983"/>
      <c r="BZ261" s="983"/>
      <c r="CA261" s="983"/>
      <c r="CB261" s="983"/>
      <c r="CC261" s="983"/>
      <c r="CD261" s="983"/>
      <c r="CE261" s="983"/>
      <c r="CF261" s="983"/>
      <c r="CG261" s="983"/>
      <c r="CH261" s="983"/>
      <c r="CI261" s="983"/>
      <c r="CJ261" s="983"/>
      <c r="CK261" s="983"/>
      <c r="CL261" s="983"/>
      <c r="CM261" s="983"/>
      <c r="CN261" s="983"/>
      <c r="CO261" s="983"/>
      <c r="CP261" s="983"/>
      <c r="CQ261" s="983"/>
      <c r="CR261" s="983"/>
      <c r="CS261" s="983"/>
      <c r="CT261" s="983"/>
      <c r="CU261" s="983"/>
      <c r="CV261" s="983"/>
      <c r="CW261" s="983"/>
      <c r="CX261" s="983"/>
      <c r="CY261" s="983"/>
      <c r="CZ261" s="983"/>
      <c r="DA261" s="983"/>
      <c r="DB261" s="983"/>
      <c r="DC261" s="983"/>
      <c r="DD261" s="983"/>
      <c r="DE261" s="983"/>
      <c r="DF261" s="983"/>
      <c r="DG261" s="983"/>
      <c r="DH261" s="983"/>
      <c r="DI261" s="983"/>
      <c r="DJ261" s="983"/>
      <c r="DK261" s="983"/>
      <c r="DL261" s="983"/>
      <c r="DM261" s="983"/>
      <c r="DN261" s="983"/>
      <c r="DO261" s="983"/>
      <c r="DP261" s="983"/>
    </row>
    <row r="262" spans="1:120" ht="39.6">
      <c r="E262" s="884" t="s">
        <v>1411</v>
      </c>
    </row>
    <row r="263" spans="1:120" ht="39.6">
      <c r="E263" s="884" t="s">
        <v>1412</v>
      </c>
    </row>
    <row r="264" spans="1:120">
      <c r="A264" s="883" t="s">
        <v>1200</v>
      </c>
    </row>
    <row r="265" spans="1:120">
      <c r="B265" s="896" t="s">
        <v>1287</v>
      </c>
    </row>
    <row r="266" spans="1:120">
      <c r="E266" s="884" t="s">
        <v>1203</v>
      </c>
    </row>
    <row r="267" spans="1:120">
      <c r="B267" s="885" t="s">
        <v>79</v>
      </c>
      <c r="C267" s="885" t="s">
        <v>5</v>
      </c>
      <c r="D267" s="885" t="s">
        <v>195</v>
      </c>
      <c r="E267" s="885" t="s">
        <v>195</v>
      </c>
    </row>
    <row r="268" spans="1:120">
      <c r="B268" s="886" t="s">
        <v>1220</v>
      </c>
      <c r="C268" s="886" t="s">
        <v>231</v>
      </c>
      <c r="D268" s="887">
        <v>36162817.799999997</v>
      </c>
      <c r="E268" s="887">
        <f>+balance!D44/1000</f>
        <v>2067985.792632438</v>
      </c>
    </row>
    <row r="269" spans="1:120">
      <c r="B269" s="886" t="s">
        <v>1201</v>
      </c>
      <c r="C269" s="888" t="s">
        <v>82</v>
      </c>
      <c r="D269" s="887">
        <f>+D268</f>
        <v>36162817.799999997</v>
      </c>
      <c r="E269" s="887">
        <f>+E268</f>
        <v>2067985.792632438</v>
      </c>
      <c r="F269">
        <f>+E269-balance!D44/1000</f>
        <v>0</v>
      </c>
    </row>
    <row r="270" spans="1:120">
      <c r="B270" s="883" t="s">
        <v>1204</v>
      </c>
    </row>
    <row r="271" spans="1:120">
      <c r="B271" s="884" t="s">
        <v>1201</v>
      </c>
    </row>
    <row r="272" spans="1:120">
      <c r="A272" t="s">
        <v>1201</v>
      </c>
      <c r="B272" t="s">
        <v>1201</v>
      </c>
      <c r="C272" t="s">
        <v>1201</v>
      </c>
      <c r="D272" t="s">
        <v>1201</v>
      </c>
      <c r="BP272" s="983"/>
      <c r="BQ272" s="983"/>
      <c r="BR272" s="983"/>
      <c r="BS272" s="983"/>
      <c r="BT272" s="983"/>
      <c r="BU272" s="983"/>
      <c r="BV272" s="983"/>
      <c r="BW272" s="983"/>
      <c r="BX272" s="983"/>
      <c r="BY272" s="983"/>
      <c r="BZ272" s="983"/>
      <c r="CA272" s="983"/>
      <c r="CB272" s="983"/>
      <c r="CC272" s="983"/>
      <c r="CD272" s="983"/>
      <c r="CE272" s="983"/>
      <c r="CF272" s="983"/>
      <c r="CG272" s="983"/>
      <c r="CH272" s="983"/>
      <c r="CI272" s="983"/>
      <c r="CJ272" s="983"/>
      <c r="CK272" s="983"/>
      <c r="CL272" s="983"/>
      <c r="CM272" s="983"/>
      <c r="CN272" s="983"/>
      <c r="CO272" s="983"/>
      <c r="CP272" s="983"/>
      <c r="CQ272" s="983"/>
      <c r="CR272" s="983"/>
      <c r="CS272" s="983"/>
      <c r="CT272" s="983"/>
      <c r="CU272" s="983"/>
      <c r="CV272" s="983"/>
      <c r="CW272" s="983"/>
      <c r="CX272" s="983"/>
      <c r="CY272" s="983"/>
      <c r="CZ272" s="983"/>
      <c r="DA272" s="983"/>
      <c r="DB272" s="983"/>
      <c r="DC272" s="983"/>
      <c r="DD272" s="983"/>
      <c r="DE272" s="983"/>
      <c r="DF272" s="983"/>
      <c r="DG272" s="983"/>
      <c r="DH272" s="983"/>
      <c r="DI272" s="983"/>
      <c r="DJ272" s="983"/>
      <c r="DK272" s="983"/>
      <c r="DL272" s="983"/>
      <c r="DM272" s="983"/>
      <c r="DN272" s="983"/>
      <c r="DO272" s="983"/>
      <c r="DP272" s="983"/>
    </row>
    <row r="273" spans="1:120" ht="39.6">
      <c r="E273" s="884" t="s">
        <v>1411</v>
      </c>
    </row>
    <row r="274" spans="1:120" ht="39.6">
      <c r="E274" s="884" t="s">
        <v>1412</v>
      </c>
    </row>
    <row r="275" spans="1:120">
      <c r="A275" s="883" t="s">
        <v>1200</v>
      </c>
    </row>
    <row r="276" spans="1:120">
      <c r="B276" s="896" t="s">
        <v>1288</v>
      </c>
    </row>
    <row r="277" spans="1:120">
      <c r="G277" s="884" t="s">
        <v>1203</v>
      </c>
    </row>
    <row r="278" spans="1:120">
      <c r="B278" s="885" t="s">
        <v>79</v>
      </c>
      <c r="C278" s="885" t="s">
        <v>5</v>
      </c>
      <c r="D278" s="885" t="s">
        <v>322</v>
      </c>
      <c r="E278" s="885" t="s">
        <v>323</v>
      </c>
      <c r="F278" s="885" t="s">
        <v>322</v>
      </c>
      <c r="G278" s="885" t="s">
        <v>323</v>
      </c>
    </row>
    <row r="279" spans="1:120">
      <c r="B279" s="886" t="s">
        <v>1220</v>
      </c>
      <c r="C279" s="886" t="s">
        <v>1289</v>
      </c>
      <c r="D279" s="887">
        <v>6000000</v>
      </c>
      <c r="E279" s="887">
        <v>0</v>
      </c>
      <c r="F279" s="887">
        <f>+F282</f>
        <v>4458497.7596100001</v>
      </c>
      <c r="G279" s="887">
        <v>0</v>
      </c>
    </row>
    <row r="280" spans="1:120" ht="26.4">
      <c r="B280" s="886" t="s">
        <v>1290</v>
      </c>
      <c r="C280" s="886" t="s">
        <v>334</v>
      </c>
      <c r="D280" s="887">
        <v>0</v>
      </c>
      <c r="E280" s="887">
        <v>0</v>
      </c>
      <c r="F280" s="887">
        <v>0</v>
      </c>
      <c r="G280" s="887">
        <v>0</v>
      </c>
    </row>
    <row r="281" spans="1:120" ht="26.4">
      <c r="B281" s="886" t="s">
        <v>1291</v>
      </c>
      <c r="C281" s="886" t="s">
        <v>335</v>
      </c>
      <c r="D281" s="887">
        <v>0</v>
      </c>
      <c r="E281" s="887">
        <v>0</v>
      </c>
      <c r="F281" s="887">
        <v>0</v>
      </c>
      <c r="G281" s="887">
        <v>0</v>
      </c>
      <c r="H281" s="71"/>
    </row>
    <row r="282" spans="1:120">
      <c r="B282" s="886" t="s">
        <v>1292</v>
      </c>
      <c r="C282" s="886" t="s">
        <v>336</v>
      </c>
      <c r="D282" s="887">
        <v>6000000</v>
      </c>
      <c r="E282" s="887">
        <v>0</v>
      </c>
      <c r="F282" s="887">
        <f>+[5]Todruulga!$P$123/1000</f>
        <v>4458497.7596100001</v>
      </c>
      <c r="G282" s="887">
        <v>0</v>
      </c>
      <c r="H282" s="71">
        <f>+F282-balance!D49/1000</f>
        <v>-91227736.65166001</v>
      </c>
    </row>
    <row r="283" spans="1:120" ht="26.4">
      <c r="B283" s="886" t="s">
        <v>1206</v>
      </c>
      <c r="C283" s="886" t="s">
        <v>1293</v>
      </c>
      <c r="D283" s="887">
        <v>3231804.9</v>
      </c>
      <c r="E283" s="887">
        <v>0</v>
      </c>
      <c r="F283" s="887">
        <f>+balance!D52/1000</f>
        <v>31097009.923391886</v>
      </c>
      <c r="G283" s="887">
        <v>0</v>
      </c>
      <c r="H283" s="71">
        <f>+F283-balance!D52/1000</f>
        <v>0</v>
      </c>
    </row>
    <row r="284" spans="1:120" ht="26.4">
      <c r="B284" s="886" t="s">
        <v>1294</v>
      </c>
      <c r="C284" s="886" t="s">
        <v>1295</v>
      </c>
      <c r="D284" s="887">
        <v>0</v>
      </c>
      <c r="E284" s="887">
        <v>0</v>
      </c>
      <c r="F284" s="887">
        <v>0</v>
      </c>
      <c r="G284" s="887">
        <v>0</v>
      </c>
      <c r="H284" s="71"/>
    </row>
    <row r="285" spans="1:120">
      <c r="B285" s="886" t="s">
        <v>1296</v>
      </c>
      <c r="C285" s="886" t="s">
        <v>1418</v>
      </c>
      <c r="D285" s="887">
        <v>3231804.9</v>
      </c>
      <c r="E285" s="887">
        <v>0</v>
      </c>
      <c r="F285" s="887">
        <f>+F283</f>
        <v>31097009.923391886</v>
      </c>
      <c r="G285" s="887">
        <v>0</v>
      </c>
    </row>
    <row r="286" spans="1:120">
      <c r="B286" s="883" t="s">
        <v>1204</v>
      </c>
    </row>
    <row r="287" spans="1:120">
      <c r="B287" s="884" t="s">
        <v>1201</v>
      </c>
    </row>
    <row r="288" spans="1:120">
      <c r="A288" t="s">
        <v>1201</v>
      </c>
      <c r="B288" t="s">
        <v>1201</v>
      </c>
      <c r="C288" t="s">
        <v>1201</v>
      </c>
      <c r="D288" t="s">
        <v>1201</v>
      </c>
      <c r="BP288" s="983"/>
      <c r="BQ288" s="983"/>
      <c r="BR288" s="983"/>
      <c r="BS288" s="983"/>
      <c r="BT288" s="983"/>
      <c r="BU288" s="983"/>
      <c r="BV288" s="983"/>
      <c r="BW288" s="983"/>
      <c r="BX288" s="983"/>
      <c r="BY288" s="983"/>
      <c r="BZ288" s="983"/>
      <c r="CA288" s="983"/>
      <c r="CB288" s="983"/>
      <c r="CC288" s="983"/>
      <c r="CD288" s="983"/>
      <c r="CE288" s="983"/>
      <c r="CF288" s="983"/>
      <c r="CG288" s="983"/>
      <c r="CH288" s="983"/>
      <c r="CI288" s="983"/>
      <c r="CJ288" s="983"/>
      <c r="CK288" s="983"/>
      <c r="CL288" s="983"/>
      <c r="CM288" s="983"/>
      <c r="CN288" s="983"/>
      <c r="CO288" s="983"/>
      <c r="CP288" s="983"/>
      <c r="CQ288" s="983"/>
      <c r="CR288" s="983"/>
      <c r="CS288" s="983"/>
      <c r="CT288" s="983"/>
      <c r="CU288" s="983"/>
      <c r="CV288" s="983"/>
      <c r="CW288" s="983"/>
      <c r="CX288" s="983"/>
      <c r="CY288" s="983"/>
      <c r="CZ288" s="983"/>
      <c r="DA288" s="983"/>
      <c r="DB288" s="983"/>
      <c r="DC288" s="983"/>
      <c r="DD288" s="983"/>
      <c r="DE288" s="983"/>
      <c r="DF288" s="983"/>
      <c r="DG288" s="983"/>
      <c r="DH288" s="983"/>
      <c r="DI288" s="983"/>
      <c r="DJ288" s="983"/>
      <c r="DK288" s="983"/>
      <c r="DL288" s="983"/>
      <c r="DM288" s="983"/>
      <c r="DN288" s="983"/>
      <c r="DO288" s="983"/>
      <c r="DP288" s="983"/>
    </row>
    <row r="289" spans="1:120" ht="39.6">
      <c r="E289" s="884" t="s">
        <v>1411</v>
      </c>
    </row>
    <row r="290" spans="1:120" ht="39.6">
      <c r="E290" s="884" t="s">
        <v>1412</v>
      </c>
    </row>
    <row r="291" spans="1:120">
      <c r="A291" s="883" t="s">
        <v>1200</v>
      </c>
    </row>
    <row r="292" spans="1:120">
      <c r="B292" s="896" t="s">
        <v>1297</v>
      </c>
    </row>
    <row r="293" spans="1:120">
      <c r="H293" s="884" t="s">
        <v>1203</v>
      </c>
    </row>
    <row r="294" spans="1:120">
      <c r="B294" s="885" t="s">
        <v>79</v>
      </c>
      <c r="C294" s="885" t="s">
        <v>5</v>
      </c>
      <c r="D294" s="885" t="s">
        <v>1298</v>
      </c>
      <c r="E294" s="885" t="s">
        <v>1299</v>
      </c>
      <c r="F294" s="885" t="s">
        <v>1298</v>
      </c>
      <c r="G294" s="885" t="s">
        <v>1299</v>
      </c>
      <c r="H294" s="885" t="s">
        <v>1300</v>
      </c>
    </row>
    <row r="295" spans="1:120">
      <c r="B295" s="886" t="s">
        <v>1220</v>
      </c>
      <c r="C295" s="886" t="s">
        <v>194</v>
      </c>
      <c r="D295" s="887">
        <v>780112</v>
      </c>
      <c r="E295" s="887">
        <v>780112.5</v>
      </c>
      <c r="F295" s="887">
        <v>0</v>
      </c>
      <c r="G295" s="887">
        <v>0</v>
      </c>
      <c r="H295" s="887">
        <v>780112.5</v>
      </c>
    </row>
    <row r="296" spans="1:120">
      <c r="B296" s="886" t="s">
        <v>950</v>
      </c>
      <c r="C296" s="886" t="s">
        <v>206</v>
      </c>
      <c r="D296" s="887">
        <v>0</v>
      </c>
      <c r="E296" s="887">
        <v>0</v>
      </c>
      <c r="F296" s="887">
        <v>0</v>
      </c>
      <c r="G296" s="887">
        <v>0</v>
      </c>
      <c r="H296" s="887">
        <v>0</v>
      </c>
    </row>
    <row r="297" spans="1:120">
      <c r="B297" s="886" t="s">
        <v>1273</v>
      </c>
      <c r="C297" s="886" t="s">
        <v>1207</v>
      </c>
      <c r="D297" s="887">
        <v>0</v>
      </c>
      <c r="E297" s="887">
        <v>0</v>
      </c>
      <c r="F297" s="887">
        <v>0</v>
      </c>
      <c r="G297" s="887">
        <v>0</v>
      </c>
      <c r="H297" s="887">
        <v>0</v>
      </c>
      <c r="I297" s="71"/>
    </row>
    <row r="298" spans="1:120">
      <c r="B298" s="886" t="s">
        <v>1278</v>
      </c>
      <c r="C298" s="886" t="s">
        <v>195</v>
      </c>
      <c r="D298" s="887">
        <v>0</v>
      </c>
      <c r="E298" s="887">
        <v>780112.5</v>
      </c>
      <c r="F298" s="887">
        <v>0</v>
      </c>
      <c r="G298" s="887">
        <v>0</v>
      </c>
      <c r="H298" s="887">
        <v>780112.5</v>
      </c>
      <c r="I298" s="71">
        <f>+H298-balance!D59/1000</f>
        <v>-0.2935999984620139</v>
      </c>
    </row>
    <row r="299" spans="1:120">
      <c r="A299" t="s">
        <v>1201</v>
      </c>
      <c r="B299" t="s">
        <v>1201</v>
      </c>
      <c r="C299" t="s">
        <v>1201</v>
      </c>
      <c r="D299" t="s">
        <v>1201</v>
      </c>
      <c r="I299" s="71"/>
      <c r="BP299" s="983"/>
      <c r="BQ299" s="983"/>
      <c r="BR299" s="983"/>
      <c r="BS299" s="983"/>
      <c r="BT299" s="983"/>
      <c r="BU299" s="983"/>
      <c r="BV299" s="983"/>
      <c r="BW299" s="983"/>
      <c r="BX299" s="983"/>
      <c r="BY299" s="983"/>
      <c r="BZ299" s="983"/>
      <c r="CA299" s="983"/>
      <c r="CB299" s="983"/>
      <c r="CC299" s="983"/>
      <c r="CD299" s="983"/>
      <c r="CE299" s="983"/>
      <c r="CF299" s="983"/>
      <c r="CG299" s="983"/>
      <c r="CH299" s="983"/>
      <c r="CI299" s="983"/>
      <c r="CJ299" s="983"/>
      <c r="CK299" s="983"/>
      <c r="CL299" s="983"/>
      <c r="CM299" s="983"/>
      <c r="CN299" s="983"/>
      <c r="CO299" s="983"/>
      <c r="CP299" s="983"/>
      <c r="CQ299" s="983"/>
      <c r="CR299" s="983"/>
      <c r="CS299" s="983"/>
      <c r="CT299" s="983"/>
      <c r="CU299" s="983"/>
      <c r="CV299" s="983"/>
      <c r="CW299" s="983"/>
      <c r="CX299" s="983"/>
      <c r="CY299" s="983"/>
      <c r="CZ299" s="983"/>
      <c r="DA299" s="983"/>
      <c r="DB299" s="983"/>
      <c r="DC299" s="983"/>
      <c r="DD299" s="983"/>
      <c r="DE299" s="983"/>
      <c r="DF299" s="983"/>
      <c r="DG299" s="983"/>
      <c r="DH299" s="983"/>
      <c r="DI299" s="983"/>
      <c r="DJ299" s="983"/>
      <c r="DK299" s="983"/>
      <c r="DL299" s="983"/>
      <c r="DM299" s="983"/>
      <c r="DN299" s="983"/>
      <c r="DO299" s="983"/>
      <c r="DP299" s="983"/>
    </row>
    <row r="300" spans="1:120" ht="39.6">
      <c r="E300" s="884" t="s">
        <v>1411</v>
      </c>
      <c r="I300" s="71"/>
    </row>
    <row r="301" spans="1:120" ht="39.6">
      <c r="E301" s="884" t="s">
        <v>1412</v>
      </c>
    </row>
    <row r="302" spans="1:120">
      <c r="A302" s="883" t="s">
        <v>1200</v>
      </c>
    </row>
    <row r="303" spans="1:120">
      <c r="B303" s="883" t="s">
        <v>1301</v>
      </c>
    </row>
    <row r="304" spans="1:120">
      <c r="F304" s="884" t="s">
        <v>1203</v>
      </c>
    </row>
    <row r="305" spans="1:120" ht="52.8">
      <c r="B305" s="885" t="s">
        <v>79</v>
      </c>
      <c r="C305" s="885" t="s">
        <v>5</v>
      </c>
      <c r="D305" s="885" t="s">
        <v>349</v>
      </c>
      <c r="E305" s="885" t="s">
        <v>1302</v>
      </c>
      <c r="F305" s="885" t="s">
        <v>82</v>
      </c>
    </row>
    <row r="306" spans="1:120">
      <c r="B306" s="886" t="s">
        <v>947</v>
      </c>
      <c r="C306" s="886" t="s">
        <v>194</v>
      </c>
      <c r="D306" s="887">
        <v>14849519.300000001</v>
      </c>
      <c r="E306" s="887">
        <v>0</v>
      </c>
      <c r="F306" s="887">
        <v>14849519.300000001</v>
      </c>
    </row>
    <row r="307" spans="1:120">
      <c r="B307" s="886" t="s">
        <v>950</v>
      </c>
      <c r="C307" s="886" t="s">
        <v>233</v>
      </c>
      <c r="D307" s="887">
        <v>0</v>
      </c>
      <c r="E307" s="887">
        <v>0</v>
      </c>
      <c r="F307" s="887">
        <v>0</v>
      </c>
    </row>
    <row r="308" spans="1:120">
      <c r="B308" s="886" t="s">
        <v>1294</v>
      </c>
      <c r="C308" s="886" t="s">
        <v>1303</v>
      </c>
      <c r="D308" s="887">
        <v>28190224.5</v>
      </c>
      <c r="E308" s="887">
        <v>0</v>
      </c>
      <c r="F308" s="887">
        <f>+D308</f>
        <v>28190224.5</v>
      </c>
    </row>
    <row r="309" spans="1:120" ht="26.4">
      <c r="B309" s="886" t="s">
        <v>1296</v>
      </c>
      <c r="C309" s="886" t="s">
        <v>1304</v>
      </c>
      <c r="D309" s="887">
        <v>0</v>
      </c>
      <c r="E309" s="887">
        <v>0</v>
      </c>
      <c r="F309" s="887">
        <v>0</v>
      </c>
    </row>
    <row r="310" spans="1:120">
      <c r="B310" s="886" t="s">
        <v>961</v>
      </c>
      <c r="C310" s="886" t="s">
        <v>269</v>
      </c>
      <c r="D310" s="887">
        <v>0</v>
      </c>
      <c r="E310" s="887">
        <v>0</v>
      </c>
      <c r="F310" s="887">
        <v>0</v>
      </c>
    </row>
    <row r="311" spans="1:120">
      <c r="B311" s="886" t="s">
        <v>1208</v>
      </c>
      <c r="C311" s="886" t="s">
        <v>1303</v>
      </c>
      <c r="D311" s="887">
        <v>0</v>
      </c>
      <c r="E311" s="887">
        <v>0</v>
      </c>
      <c r="F311" s="887">
        <v>0</v>
      </c>
    </row>
    <row r="312" spans="1:120" ht="26.4">
      <c r="B312" s="886" t="s">
        <v>1210</v>
      </c>
      <c r="C312" s="886" t="s">
        <v>88</v>
      </c>
      <c r="D312" s="887">
        <v>0</v>
      </c>
      <c r="E312" s="887">
        <v>0</v>
      </c>
      <c r="F312" s="887">
        <v>0</v>
      </c>
    </row>
    <row r="313" spans="1:120" ht="26.4">
      <c r="B313" s="886" t="s">
        <v>1305</v>
      </c>
      <c r="C313" s="886" t="s">
        <v>1306</v>
      </c>
      <c r="D313" s="887">
        <v>0</v>
      </c>
      <c r="E313" s="887">
        <v>0</v>
      </c>
      <c r="F313" s="887">
        <v>0</v>
      </c>
    </row>
    <row r="314" spans="1:120">
      <c r="B314" s="886" t="s">
        <v>962</v>
      </c>
      <c r="C314" s="886" t="s">
        <v>195</v>
      </c>
      <c r="D314" s="887">
        <f>+D308+D306</f>
        <v>43039743.799999997</v>
      </c>
      <c r="E314" s="887">
        <v>0</v>
      </c>
      <c r="F314" s="887">
        <f>+F308+F306</f>
        <v>43039743.799999997</v>
      </c>
      <c r="G314" s="891">
        <f>+F314-balance!D62/1000</f>
        <v>-1528795.7773099989</v>
      </c>
    </row>
    <row r="315" spans="1:120">
      <c r="A315" t="s">
        <v>1201</v>
      </c>
      <c r="B315" t="s">
        <v>1201</v>
      </c>
      <c r="C315" t="s">
        <v>1201</v>
      </c>
      <c r="D315" t="s">
        <v>1201</v>
      </c>
      <c r="BP315" s="983"/>
      <c r="BQ315" s="983"/>
      <c r="BR315" s="983"/>
      <c r="BS315" s="983"/>
      <c r="BT315" s="983"/>
      <c r="BU315" s="983"/>
      <c r="BV315" s="983"/>
      <c r="BW315" s="983"/>
      <c r="BX315" s="983"/>
      <c r="BY315" s="983"/>
      <c r="BZ315" s="983"/>
      <c r="CA315" s="983"/>
      <c r="CB315" s="983"/>
      <c r="CC315" s="983"/>
      <c r="CD315" s="983"/>
      <c r="CE315" s="983"/>
      <c r="CF315" s="983"/>
      <c r="CG315" s="983"/>
      <c r="CH315" s="983"/>
      <c r="CI315" s="983"/>
      <c r="CJ315" s="983"/>
      <c r="CK315" s="983"/>
      <c r="CL315" s="983"/>
      <c r="CM315" s="983"/>
      <c r="CN315" s="983"/>
      <c r="CO315" s="983"/>
      <c r="CP315" s="983"/>
      <c r="CQ315" s="983"/>
      <c r="CR315" s="983"/>
      <c r="CS315" s="983"/>
      <c r="CT315" s="983"/>
      <c r="CU315" s="983"/>
      <c r="CV315" s="983"/>
      <c r="CW315" s="983"/>
      <c r="CX315" s="983"/>
      <c r="CY315" s="983"/>
      <c r="CZ315" s="983"/>
      <c r="DA315" s="983"/>
      <c r="DB315" s="983"/>
      <c r="DC315" s="983"/>
      <c r="DD315" s="983"/>
      <c r="DE315" s="983"/>
      <c r="DF315" s="983"/>
      <c r="DG315" s="983"/>
      <c r="DH315" s="983"/>
      <c r="DI315" s="983"/>
      <c r="DJ315" s="983"/>
      <c r="DK315" s="983"/>
      <c r="DL315" s="983"/>
      <c r="DM315" s="983"/>
      <c r="DN315" s="983"/>
      <c r="DO315" s="983"/>
      <c r="DP315" s="983"/>
    </row>
    <row r="316" spans="1:120" ht="39.6">
      <c r="E316" s="884" t="s">
        <v>1411</v>
      </c>
    </row>
    <row r="317" spans="1:120" ht="39.6">
      <c r="E317" s="884" t="s">
        <v>1412</v>
      </c>
    </row>
    <row r="318" spans="1:120">
      <c r="A318" s="883" t="s">
        <v>1200</v>
      </c>
    </row>
    <row r="319" spans="1:120">
      <c r="B319" s="883" t="s">
        <v>1307</v>
      </c>
    </row>
    <row r="320" spans="1:120">
      <c r="G320" s="884" t="s">
        <v>1203</v>
      </c>
    </row>
    <row r="321" spans="1:120">
      <c r="B321" s="885" t="s">
        <v>79</v>
      </c>
      <c r="C321" s="885" t="s">
        <v>5</v>
      </c>
      <c r="D321" s="885" t="s">
        <v>195</v>
      </c>
      <c r="E321" s="885" t="s">
        <v>206</v>
      </c>
      <c r="F321" s="885" t="s">
        <v>1207</v>
      </c>
      <c r="G321" s="885" t="s">
        <v>195</v>
      </c>
    </row>
    <row r="322" spans="1:120" ht="26.4">
      <c r="B322" s="886" t="s">
        <v>947</v>
      </c>
      <c r="C322" s="886" t="s">
        <v>359</v>
      </c>
      <c r="D322" s="887">
        <v>0</v>
      </c>
      <c r="E322" s="887">
        <v>0</v>
      </c>
      <c r="F322" s="887">
        <v>0</v>
      </c>
      <c r="G322" s="887">
        <v>0</v>
      </c>
    </row>
    <row r="323" spans="1:120" ht="39.6">
      <c r="B323" s="886" t="s">
        <v>950</v>
      </c>
      <c r="C323" s="886" t="s">
        <v>1308</v>
      </c>
      <c r="D323" s="887">
        <v>0</v>
      </c>
      <c r="E323" s="887">
        <v>0</v>
      </c>
      <c r="F323" s="887">
        <v>0</v>
      </c>
      <c r="G323" s="887">
        <v>0</v>
      </c>
    </row>
    <row r="324" spans="1:120">
      <c r="B324" s="886" t="s">
        <v>950</v>
      </c>
      <c r="C324" s="886" t="s">
        <v>231</v>
      </c>
      <c r="D324" s="887">
        <v>0</v>
      </c>
      <c r="E324" s="887">
        <v>0</v>
      </c>
      <c r="F324" s="887">
        <v>0</v>
      </c>
      <c r="G324" s="887">
        <v>0</v>
      </c>
    </row>
    <row r="325" spans="1:120">
      <c r="B325" s="886" t="s">
        <v>950</v>
      </c>
      <c r="C325" s="888" t="s">
        <v>82</v>
      </c>
      <c r="D325" s="887">
        <v>0</v>
      </c>
      <c r="E325" s="887">
        <v>0</v>
      </c>
      <c r="F325" s="887">
        <v>0</v>
      </c>
      <c r="G325" s="887">
        <v>0</v>
      </c>
    </row>
    <row r="326" spans="1:120">
      <c r="A326" t="s">
        <v>1201</v>
      </c>
      <c r="B326" t="s">
        <v>1201</v>
      </c>
      <c r="C326" t="s">
        <v>1201</v>
      </c>
      <c r="D326" t="s">
        <v>1201</v>
      </c>
      <c r="BP326" s="983"/>
      <c r="BQ326" s="983"/>
      <c r="BR326" s="983"/>
      <c r="BS326" s="983"/>
      <c r="BT326" s="983"/>
      <c r="BU326" s="983"/>
      <c r="BV326" s="983"/>
      <c r="BW326" s="983"/>
      <c r="BX326" s="983"/>
      <c r="BY326" s="983"/>
      <c r="BZ326" s="983"/>
      <c r="CA326" s="983"/>
      <c r="CB326" s="983"/>
      <c r="CC326" s="983"/>
      <c r="CD326" s="983"/>
      <c r="CE326" s="983"/>
      <c r="CF326" s="983"/>
      <c r="CG326" s="983"/>
      <c r="CH326" s="983"/>
      <c r="CI326" s="983"/>
      <c r="CJ326" s="983"/>
      <c r="CK326" s="983"/>
      <c r="CL326" s="983"/>
      <c r="CM326" s="983"/>
      <c r="CN326" s="983"/>
      <c r="CO326" s="983"/>
      <c r="CP326" s="983"/>
      <c r="CQ326" s="983"/>
      <c r="CR326" s="983"/>
      <c r="CS326" s="983"/>
      <c r="CT326" s="983"/>
      <c r="CU326" s="983"/>
      <c r="CV326" s="983"/>
      <c r="CW326" s="983"/>
      <c r="CX326" s="983"/>
      <c r="CY326" s="983"/>
      <c r="CZ326" s="983"/>
      <c r="DA326" s="983"/>
      <c r="DB326" s="983"/>
      <c r="DC326" s="983"/>
      <c r="DD326" s="983"/>
      <c r="DE326" s="983"/>
      <c r="DF326" s="983"/>
      <c r="DG326" s="983"/>
      <c r="DH326" s="983"/>
      <c r="DI326" s="983"/>
      <c r="DJ326" s="983"/>
      <c r="DK326" s="983"/>
      <c r="DL326" s="983"/>
      <c r="DM326" s="983"/>
      <c r="DN326" s="983"/>
      <c r="DO326" s="983"/>
      <c r="DP326" s="983"/>
    </row>
    <row r="327" spans="1:120" ht="39.6">
      <c r="E327" s="884" t="s">
        <v>1411</v>
      </c>
    </row>
    <row r="328" spans="1:120" ht="39.6">
      <c r="E328" s="884" t="s">
        <v>1412</v>
      </c>
    </row>
    <row r="329" spans="1:120">
      <c r="A329" s="883" t="s">
        <v>1200</v>
      </c>
    </row>
    <row r="330" spans="1:120">
      <c r="B330" s="896" t="s">
        <v>1310</v>
      </c>
    </row>
    <row r="331" spans="1:120">
      <c r="E331" s="884" t="s">
        <v>1203</v>
      </c>
    </row>
    <row r="332" spans="1:120">
      <c r="B332" s="885" t="s">
        <v>79</v>
      </c>
      <c r="C332" s="885" t="s">
        <v>5</v>
      </c>
      <c r="D332" s="885" t="s">
        <v>195</v>
      </c>
      <c r="E332" s="885" t="s">
        <v>195</v>
      </c>
    </row>
    <row r="333" spans="1:120">
      <c r="B333" s="886" t="s">
        <v>1220</v>
      </c>
      <c r="C333" s="886" t="s">
        <v>366</v>
      </c>
      <c r="D333" s="887">
        <v>0</v>
      </c>
      <c r="E333" s="887">
        <v>0</v>
      </c>
    </row>
    <row r="334" spans="1:120" ht="26.4">
      <c r="B334" s="886" t="s">
        <v>1290</v>
      </c>
      <c r="C334" s="886" t="s">
        <v>1311</v>
      </c>
      <c r="D334" s="887">
        <v>227418403.5</v>
      </c>
      <c r="E334" s="887">
        <f>+'[3]IS GOBI 3b'!$AX$12/1000</f>
        <v>123293877.94515999</v>
      </c>
    </row>
    <row r="335" spans="1:120">
      <c r="B335" s="886" t="s">
        <v>1291</v>
      </c>
      <c r="C335" s="886"/>
      <c r="D335" s="887">
        <v>0</v>
      </c>
      <c r="E335" s="887">
        <v>0</v>
      </c>
    </row>
    <row r="336" spans="1:120" ht="26.4">
      <c r="B336" s="886" t="s">
        <v>1294</v>
      </c>
      <c r="C336" s="886" t="s">
        <v>1312</v>
      </c>
      <c r="D336" s="887">
        <v>0</v>
      </c>
      <c r="E336" s="887">
        <v>0</v>
      </c>
    </row>
    <row r="337" spans="1:120">
      <c r="B337" s="886" t="s">
        <v>1296</v>
      </c>
      <c r="C337" s="886"/>
      <c r="D337" s="887">
        <v>0</v>
      </c>
      <c r="E337" s="887">
        <v>0</v>
      </c>
    </row>
    <row r="338" spans="1:120">
      <c r="B338" s="886" t="s">
        <v>961</v>
      </c>
      <c r="C338" s="886" t="s">
        <v>369</v>
      </c>
      <c r="D338" s="887">
        <v>227418403.5</v>
      </c>
      <c r="E338" s="887">
        <f>+E334</f>
        <v>123293877.94515999</v>
      </c>
    </row>
    <row r="339" spans="1:120" ht="26.4">
      <c r="B339" s="886" t="s">
        <v>1278</v>
      </c>
      <c r="C339" s="888" t="s">
        <v>1313</v>
      </c>
      <c r="D339" s="887">
        <v>9767909.8000000007</v>
      </c>
      <c r="E339" s="887">
        <f>+'[3]IS GOBI 3b'!$AX$13/1000+'[3]IS GOBI 3b'!$AX$14/1000</f>
        <v>4429895.3214800004</v>
      </c>
    </row>
    <row r="340" spans="1:120">
      <c r="B340" s="886" t="s">
        <v>963</v>
      </c>
      <c r="C340" s="888" t="s">
        <v>371</v>
      </c>
      <c r="D340" s="887">
        <v>217650493.69999999</v>
      </c>
      <c r="E340" s="887">
        <f>+E338-E339</f>
        <v>118863982.62367998</v>
      </c>
      <c r="F340" s="71">
        <f>+E340-income!D7/1000</f>
        <v>-74563626.044470146</v>
      </c>
    </row>
    <row r="341" spans="1:120" ht="26.4">
      <c r="B341" s="886" t="s">
        <v>1201</v>
      </c>
      <c r="C341" s="888" t="s">
        <v>1314</v>
      </c>
      <c r="D341" s="887">
        <v>0</v>
      </c>
      <c r="E341" s="887">
        <v>0</v>
      </c>
    </row>
    <row r="342" spans="1:120" ht="26.4">
      <c r="B342" s="886" t="s">
        <v>1315</v>
      </c>
      <c r="C342" s="886" t="s">
        <v>1316</v>
      </c>
      <c r="D342" s="887">
        <v>150359819.69999999</v>
      </c>
      <c r="E342" s="887">
        <f>+income!D8/1000</f>
        <v>97766831.001219288</v>
      </c>
      <c r="F342">
        <f>+E342-income!D8/1000</f>
        <v>0</v>
      </c>
    </row>
    <row r="343" spans="1:120">
      <c r="B343" s="886" t="s">
        <v>1317</v>
      </c>
      <c r="C343" s="886"/>
      <c r="D343" s="887">
        <v>0</v>
      </c>
      <c r="E343" s="887">
        <v>0</v>
      </c>
    </row>
    <row r="344" spans="1:120" ht="26.4">
      <c r="B344" s="886" t="s">
        <v>1318</v>
      </c>
      <c r="C344" s="886" t="s">
        <v>1319</v>
      </c>
      <c r="D344" s="887">
        <v>0</v>
      </c>
      <c r="E344" s="887">
        <v>0</v>
      </c>
    </row>
    <row r="345" spans="1:120">
      <c r="B345" s="886" t="s">
        <v>1320</v>
      </c>
      <c r="C345" s="886"/>
      <c r="D345" s="887">
        <v>0</v>
      </c>
      <c r="E345" s="887">
        <v>0</v>
      </c>
    </row>
    <row r="346" spans="1:120" ht="26.4">
      <c r="B346" s="886" t="s">
        <v>1321</v>
      </c>
      <c r="C346" s="888" t="s">
        <v>1322</v>
      </c>
      <c r="D346" s="887">
        <v>150359819.69999999</v>
      </c>
      <c r="E346" s="887">
        <f>+E342</f>
        <v>97766831.001219288</v>
      </c>
      <c r="F346">
        <f>+E346-income!D8/1000</f>
        <v>0</v>
      </c>
    </row>
    <row r="347" spans="1:120">
      <c r="A347" t="s">
        <v>1201</v>
      </c>
      <c r="B347" t="s">
        <v>1201</v>
      </c>
      <c r="C347" t="s">
        <v>1201</v>
      </c>
      <c r="D347" t="s">
        <v>1201</v>
      </c>
      <c r="BP347" s="983"/>
      <c r="BQ347" s="983"/>
      <c r="BR347" s="983"/>
      <c r="BS347" s="983"/>
      <c r="BT347" s="983"/>
      <c r="BU347" s="983"/>
      <c r="BV347" s="983"/>
      <c r="BW347" s="983"/>
      <c r="BX347" s="983"/>
      <c r="BY347" s="983"/>
      <c r="BZ347" s="983"/>
      <c r="CA347" s="983"/>
      <c r="CB347" s="983"/>
      <c r="CC347" s="983"/>
      <c r="CD347" s="983"/>
      <c r="CE347" s="983"/>
      <c r="CF347" s="983"/>
      <c r="CG347" s="983"/>
      <c r="CH347" s="983"/>
      <c r="CI347" s="983"/>
      <c r="CJ347" s="983"/>
      <c r="CK347" s="983"/>
      <c r="CL347" s="983"/>
      <c r="CM347" s="983"/>
      <c r="CN347" s="983"/>
      <c r="CO347" s="983"/>
      <c r="CP347" s="983"/>
      <c r="CQ347" s="983"/>
      <c r="CR347" s="983"/>
      <c r="CS347" s="983"/>
      <c r="CT347" s="983"/>
      <c r="CU347" s="983"/>
      <c r="CV347" s="983"/>
      <c r="CW347" s="983"/>
      <c r="CX347" s="983"/>
      <c r="CY347" s="983"/>
      <c r="CZ347" s="983"/>
      <c r="DA347" s="983"/>
      <c r="DB347" s="983"/>
      <c r="DC347" s="983"/>
      <c r="DD347" s="983"/>
      <c r="DE347" s="983"/>
      <c r="DF347" s="983"/>
      <c r="DG347" s="983"/>
      <c r="DH347" s="983"/>
      <c r="DI347" s="983"/>
      <c r="DJ347" s="983"/>
      <c r="DK347" s="983"/>
      <c r="DL347" s="983"/>
      <c r="DM347" s="983"/>
      <c r="DN347" s="983"/>
      <c r="DO347" s="983"/>
      <c r="DP347" s="983"/>
    </row>
    <row r="348" spans="1:120" ht="39.6">
      <c r="E348" s="884" t="s">
        <v>1411</v>
      </c>
    </row>
    <row r="349" spans="1:120" ht="39.6">
      <c r="E349" s="884" t="s">
        <v>1412</v>
      </c>
    </row>
    <row r="350" spans="1:120">
      <c r="A350" s="883" t="s">
        <v>1200</v>
      </c>
    </row>
    <row r="351" spans="1:120">
      <c r="B351" s="896" t="s">
        <v>1323</v>
      </c>
    </row>
    <row r="352" spans="1:120">
      <c r="E352" s="884" t="s">
        <v>1203</v>
      </c>
    </row>
    <row r="353" spans="1:120">
      <c r="B353" s="885" t="s">
        <v>79</v>
      </c>
      <c r="C353" s="885" t="s">
        <v>5</v>
      </c>
      <c r="D353" s="885" t="s">
        <v>195</v>
      </c>
      <c r="E353" s="885" t="s">
        <v>195</v>
      </c>
    </row>
    <row r="354" spans="1:120">
      <c r="B354" s="886" t="s">
        <v>947</v>
      </c>
      <c r="C354" s="886" t="s">
        <v>65</v>
      </c>
      <c r="D354" s="887">
        <v>210328.9</v>
      </c>
      <c r="E354" s="887">
        <f>+'[4]IS GOBI 3b'!$AX$93/1000+'[4]IS GOBI 3b'!$AX$97/1000+'[4]IS GOBI 3b'!$AX$99/1000</f>
        <v>337612.02477000002</v>
      </c>
      <c r="F354">
        <f>+E354-income!D14/1000</f>
        <v>-504142.04493340012</v>
      </c>
    </row>
    <row r="355" spans="1:120">
      <c r="B355" s="886" t="s">
        <v>947</v>
      </c>
      <c r="C355" s="886" t="s">
        <v>381</v>
      </c>
      <c r="D355" s="887">
        <v>239820.6</v>
      </c>
      <c r="E355" s="887">
        <v>0</v>
      </c>
      <c r="F355">
        <f>+E355-income!D11/1000</f>
        <v>-29260.700232367835</v>
      </c>
    </row>
    <row r="356" spans="1:120">
      <c r="B356" s="886" t="s">
        <v>947</v>
      </c>
      <c r="C356" s="886" t="s">
        <v>1324</v>
      </c>
      <c r="D356" s="887">
        <v>0</v>
      </c>
      <c r="E356" s="887">
        <v>0</v>
      </c>
    </row>
    <row r="357" spans="1:120">
      <c r="B357" s="886" t="s">
        <v>947</v>
      </c>
      <c r="C357" s="886" t="s">
        <v>61</v>
      </c>
      <c r="D357" s="887">
        <v>213449.7</v>
      </c>
      <c r="E357" s="887">
        <v>0</v>
      </c>
      <c r="F357">
        <f>+E357-income!D10/1000</f>
        <v>-373611.70393999998</v>
      </c>
    </row>
    <row r="358" spans="1:120">
      <c r="B358" s="886" t="s">
        <v>962</v>
      </c>
      <c r="C358" s="888" t="s">
        <v>82</v>
      </c>
      <c r="D358" s="887">
        <v>663599.19999999995</v>
      </c>
      <c r="E358" s="887">
        <f>SUM(E354:E357)</f>
        <v>337612.02477000002</v>
      </c>
    </row>
    <row r="359" spans="1:120">
      <c r="A359" t="s">
        <v>1201</v>
      </c>
      <c r="B359" t="s">
        <v>1201</v>
      </c>
      <c r="C359" t="s">
        <v>1201</v>
      </c>
      <c r="D359" t="s">
        <v>1201</v>
      </c>
      <c r="BP359" s="983"/>
      <c r="BQ359" s="983"/>
      <c r="BR359" s="983"/>
      <c r="BS359" s="983"/>
      <c r="BT359" s="983"/>
      <c r="BU359" s="983"/>
      <c r="BV359" s="983"/>
      <c r="BW359" s="983"/>
      <c r="BX359" s="983"/>
      <c r="BY359" s="983"/>
      <c r="BZ359" s="983"/>
      <c r="CA359" s="983"/>
      <c r="CB359" s="983"/>
      <c r="CC359" s="983"/>
      <c r="CD359" s="983"/>
      <c r="CE359" s="983"/>
      <c r="CF359" s="983"/>
      <c r="CG359" s="983"/>
      <c r="CH359" s="983"/>
      <c r="CI359" s="983"/>
      <c r="CJ359" s="983"/>
      <c r="CK359" s="983"/>
      <c r="CL359" s="983"/>
      <c r="CM359" s="983"/>
      <c r="CN359" s="983"/>
      <c r="CO359" s="983"/>
      <c r="CP359" s="983"/>
      <c r="CQ359" s="983"/>
      <c r="CR359" s="983"/>
      <c r="CS359" s="983"/>
      <c r="CT359" s="983"/>
      <c r="CU359" s="983"/>
      <c r="CV359" s="983"/>
      <c r="CW359" s="983"/>
      <c r="CX359" s="983"/>
      <c r="CY359" s="983"/>
      <c r="CZ359" s="983"/>
      <c r="DA359" s="983"/>
      <c r="DB359" s="983"/>
      <c r="DC359" s="983"/>
      <c r="DD359" s="983"/>
      <c r="DE359" s="983"/>
      <c r="DF359" s="983"/>
      <c r="DG359" s="983"/>
      <c r="DH359" s="983"/>
      <c r="DI359" s="983"/>
      <c r="DJ359" s="983"/>
      <c r="DK359" s="983"/>
      <c r="DL359" s="983"/>
      <c r="DM359" s="983"/>
      <c r="DN359" s="983"/>
      <c r="DO359" s="983"/>
      <c r="DP359" s="983"/>
    </row>
    <row r="360" spans="1:120" ht="39.6">
      <c r="E360" s="884" t="s">
        <v>1411</v>
      </c>
    </row>
    <row r="361" spans="1:120" ht="39.6">
      <c r="E361" s="884" t="s">
        <v>1412</v>
      </c>
    </row>
    <row r="362" spans="1:120">
      <c r="A362" s="883" t="s">
        <v>1200</v>
      </c>
    </row>
    <row r="363" spans="1:120">
      <c r="B363" s="883" t="s">
        <v>1325</v>
      </c>
    </row>
    <row r="364" spans="1:120">
      <c r="E364" s="884" t="s">
        <v>1203</v>
      </c>
    </row>
    <row r="365" spans="1:120">
      <c r="B365" s="885" t="s">
        <v>79</v>
      </c>
      <c r="C365" s="885" t="s">
        <v>5</v>
      </c>
      <c r="D365" s="885" t="s">
        <v>194</v>
      </c>
      <c r="E365" s="885" t="s">
        <v>195</v>
      </c>
    </row>
    <row r="366" spans="1:120">
      <c r="B366" s="886" t="s">
        <v>1220</v>
      </c>
      <c r="C366" s="886" t="s">
        <v>1326</v>
      </c>
      <c r="D366" s="887">
        <v>-667883.5</v>
      </c>
      <c r="E366" s="887">
        <v>816391.64019361651</v>
      </c>
    </row>
    <row r="367" spans="1:120">
      <c r="B367" s="886" t="s">
        <v>1206</v>
      </c>
      <c r="C367" s="886" t="s">
        <v>1327</v>
      </c>
      <c r="D367" s="887">
        <v>729023.4</v>
      </c>
      <c r="E367" s="887">
        <v>4722368.4199624602</v>
      </c>
    </row>
    <row r="368" spans="1:120" ht="39.6">
      <c r="B368" s="886" t="s">
        <v>1273</v>
      </c>
      <c r="C368" s="886" t="s">
        <v>1328</v>
      </c>
      <c r="D368" s="887">
        <v>-3805722.7</v>
      </c>
      <c r="E368" s="887">
        <v>-14029379.563122185</v>
      </c>
    </row>
    <row r="369" spans="1:120" ht="26.4">
      <c r="B369" s="886" t="s">
        <v>1278</v>
      </c>
      <c r="C369" s="886" t="s">
        <v>1329</v>
      </c>
      <c r="D369" s="887">
        <v>0</v>
      </c>
      <c r="E369" s="887">
        <v>0</v>
      </c>
    </row>
    <row r="370" spans="1:120">
      <c r="B370" s="886" t="s">
        <v>1280</v>
      </c>
      <c r="C370" s="888" t="s">
        <v>82</v>
      </c>
      <c r="D370" s="887">
        <v>-3744582.8</v>
      </c>
      <c r="E370" s="887">
        <f>SUM(E366:E369)</f>
        <v>-8490619.5029661078</v>
      </c>
      <c r="F370" s="892">
        <f>+E370-income!D19/1000</f>
        <v>-3511763.8142628074</v>
      </c>
    </row>
    <row r="371" spans="1:120">
      <c r="A371" t="s">
        <v>1201</v>
      </c>
      <c r="B371" t="s">
        <v>1201</v>
      </c>
      <c r="C371" t="s">
        <v>1201</v>
      </c>
      <c r="D371" t="s">
        <v>1201</v>
      </c>
      <c r="BP371" s="983"/>
      <c r="BQ371" s="983"/>
      <c r="BR371" s="983"/>
      <c r="BS371" s="983"/>
      <c r="BT371" s="983"/>
      <c r="BU371" s="983"/>
      <c r="BV371" s="983"/>
      <c r="BW371" s="983"/>
      <c r="BX371" s="983"/>
      <c r="BY371" s="983"/>
      <c r="BZ371" s="983"/>
      <c r="CA371" s="983"/>
      <c r="CB371" s="983"/>
      <c r="CC371" s="983"/>
      <c r="CD371" s="983"/>
      <c r="CE371" s="983"/>
      <c r="CF371" s="983"/>
      <c r="CG371" s="983"/>
      <c r="CH371" s="983"/>
      <c r="CI371" s="983"/>
      <c r="CJ371" s="983"/>
      <c r="CK371" s="983"/>
      <c r="CL371" s="983"/>
      <c r="CM371" s="983"/>
      <c r="CN371" s="983"/>
      <c r="CO371" s="983"/>
      <c r="CP371" s="983"/>
      <c r="CQ371" s="983"/>
      <c r="CR371" s="983"/>
      <c r="CS371" s="983"/>
      <c r="CT371" s="983"/>
      <c r="CU371" s="983"/>
      <c r="CV371" s="983"/>
      <c r="CW371" s="983"/>
      <c r="CX371" s="983"/>
      <c r="CY371" s="983"/>
      <c r="CZ371" s="983"/>
      <c r="DA371" s="983"/>
      <c r="DB371" s="983"/>
      <c r="DC371" s="983"/>
      <c r="DD371" s="983"/>
      <c r="DE371" s="983"/>
      <c r="DF371" s="983"/>
      <c r="DG371" s="983"/>
      <c r="DH371" s="983"/>
      <c r="DI371" s="983"/>
      <c r="DJ371" s="983"/>
      <c r="DK371" s="983"/>
      <c r="DL371" s="983"/>
      <c r="DM371" s="983"/>
      <c r="DN371" s="983"/>
      <c r="DO371" s="983"/>
      <c r="DP371" s="983"/>
    </row>
    <row r="372" spans="1:120" ht="39.6">
      <c r="E372" s="884" t="s">
        <v>1411</v>
      </c>
    </row>
    <row r="373" spans="1:120" ht="39.6">
      <c r="E373" s="884" t="s">
        <v>1412</v>
      </c>
    </row>
    <row r="374" spans="1:120">
      <c r="A374" s="883" t="s">
        <v>1200</v>
      </c>
    </row>
    <row r="375" spans="1:120">
      <c r="B375" s="883" t="s">
        <v>1330</v>
      </c>
    </row>
    <row r="376" spans="1:120">
      <c r="E376" s="884" t="s">
        <v>1203</v>
      </c>
    </row>
    <row r="377" spans="1:120">
      <c r="B377" s="885" t="s">
        <v>79</v>
      </c>
      <c r="C377" s="885" t="s">
        <v>5</v>
      </c>
      <c r="D377" s="885" t="s">
        <v>194</v>
      </c>
      <c r="E377" s="885" t="s">
        <v>195</v>
      </c>
    </row>
    <row r="378" spans="1:120" ht="26.4">
      <c r="B378" s="886" t="s">
        <v>1220</v>
      </c>
      <c r="C378" s="886" t="s">
        <v>1331</v>
      </c>
      <c r="D378" s="887">
        <v>0</v>
      </c>
      <c r="E378" s="887">
        <v>0</v>
      </c>
    </row>
    <row r="379" spans="1:120" ht="26.4">
      <c r="B379" s="886" t="s">
        <v>1206</v>
      </c>
      <c r="C379" s="886" t="s">
        <v>1332</v>
      </c>
      <c r="D379" s="887">
        <v>0</v>
      </c>
      <c r="E379" s="887">
        <v>0</v>
      </c>
    </row>
    <row r="380" spans="1:120">
      <c r="B380" s="886" t="s">
        <v>1273</v>
      </c>
      <c r="C380" s="886" t="s">
        <v>1333</v>
      </c>
      <c r="D380" s="887">
        <v>0</v>
      </c>
      <c r="E380" s="887">
        <v>0</v>
      </c>
    </row>
    <row r="381" spans="1:120" ht="26.4">
      <c r="B381" s="886" t="s">
        <v>1278</v>
      </c>
      <c r="C381" s="886" t="s">
        <v>1334</v>
      </c>
      <c r="D381" s="887">
        <v>0</v>
      </c>
      <c r="E381" s="887">
        <v>0</v>
      </c>
    </row>
    <row r="382" spans="1:120" ht="26.4">
      <c r="B382" s="886" t="s">
        <v>1280</v>
      </c>
      <c r="C382" s="886" t="s">
        <v>1335</v>
      </c>
      <c r="D382" s="887">
        <v>0</v>
      </c>
      <c r="E382" s="887">
        <v>0</v>
      </c>
    </row>
    <row r="383" spans="1:120">
      <c r="B383" s="886" t="s">
        <v>1282</v>
      </c>
      <c r="C383" s="888" t="s">
        <v>82</v>
      </c>
      <c r="D383" s="887">
        <v>0</v>
      </c>
      <c r="E383" s="887">
        <v>0</v>
      </c>
    </row>
    <row r="384" spans="1:120">
      <c r="A384" t="s">
        <v>1201</v>
      </c>
      <c r="B384" t="s">
        <v>1201</v>
      </c>
      <c r="C384" t="s">
        <v>1201</v>
      </c>
      <c r="D384" t="s">
        <v>1201</v>
      </c>
      <c r="BP384" s="983"/>
      <c r="BQ384" s="983"/>
      <c r="BR384" s="983"/>
      <c r="BS384" s="983"/>
      <c r="BT384" s="983"/>
      <c r="BU384" s="983"/>
      <c r="BV384" s="983"/>
      <c r="BW384" s="983"/>
      <c r="BX384" s="983"/>
      <c r="BY384" s="983"/>
      <c r="BZ384" s="983"/>
      <c r="CA384" s="983"/>
      <c r="CB384" s="983"/>
      <c r="CC384" s="983"/>
      <c r="CD384" s="983"/>
      <c r="CE384" s="983"/>
      <c r="CF384" s="983"/>
      <c r="CG384" s="983"/>
      <c r="CH384" s="983"/>
      <c r="CI384" s="983"/>
      <c r="CJ384" s="983"/>
      <c r="CK384" s="983"/>
      <c r="CL384" s="983"/>
      <c r="CM384" s="983"/>
      <c r="CN384" s="983"/>
      <c r="CO384" s="983"/>
      <c r="CP384" s="983"/>
      <c r="CQ384" s="983"/>
      <c r="CR384" s="983"/>
      <c r="CS384" s="983"/>
      <c r="CT384" s="983"/>
      <c r="CU384" s="983"/>
      <c r="CV384" s="983"/>
      <c r="CW384" s="983"/>
      <c r="CX384" s="983"/>
      <c r="CY384" s="983"/>
      <c r="CZ384" s="983"/>
      <c r="DA384" s="983"/>
      <c r="DB384" s="983"/>
      <c r="DC384" s="983"/>
      <c r="DD384" s="983"/>
      <c r="DE384" s="983"/>
      <c r="DF384" s="983"/>
      <c r="DG384" s="983"/>
      <c r="DH384" s="983"/>
      <c r="DI384" s="983"/>
      <c r="DJ384" s="983"/>
      <c r="DK384" s="983"/>
      <c r="DL384" s="983"/>
      <c r="DM384" s="983"/>
      <c r="DN384" s="983"/>
      <c r="DO384" s="983"/>
      <c r="DP384" s="983"/>
    </row>
    <row r="385" spans="1:5" ht="39.6">
      <c r="E385" s="884" t="s">
        <v>1411</v>
      </c>
    </row>
    <row r="386" spans="1:5" ht="39.6">
      <c r="E386" s="884" t="s">
        <v>1412</v>
      </c>
    </row>
    <row r="387" spans="1:5">
      <c r="A387" s="903" t="s">
        <v>1200</v>
      </c>
    </row>
    <row r="388" spans="1:5">
      <c r="B388" s="883" t="s">
        <v>1336</v>
      </c>
    </row>
    <row r="389" spans="1:5">
      <c r="E389" s="884" t="s">
        <v>1203</v>
      </c>
    </row>
    <row r="390" spans="1:5">
      <c r="B390" s="885" t="s">
        <v>79</v>
      </c>
      <c r="C390" s="885" t="s">
        <v>5</v>
      </c>
      <c r="D390" s="885" t="s">
        <v>390</v>
      </c>
      <c r="E390" s="885" t="s">
        <v>390</v>
      </c>
    </row>
    <row r="391" spans="1:5">
      <c r="B391" s="886" t="s">
        <v>1220</v>
      </c>
      <c r="C391" s="886" t="s">
        <v>392</v>
      </c>
      <c r="D391" s="887">
        <v>6009008.5</v>
      </c>
      <c r="E391" s="887">
        <v>5633964.2359499987</v>
      </c>
    </row>
    <row r="392" spans="1:5" ht="26.4">
      <c r="B392" s="886" t="s">
        <v>1206</v>
      </c>
      <c r="C392" s="886" t="s">
        <v>393</v>
      </c>
      <c r="D392" s="887">
        <v>819664.9</v>
      </c>
      <c r="E392" s="887">
        <v>332661.46794999996</v>
      </c>
    </row>
    <row r="393" spans="1:5" ht="26.4">
      <c r="B393" s="886" t="s">
        <v>1273</v>
      </c>
      <c r="C393" s="886" t="s">
        <v>1337</v>
      </c>
      <c r="D393" s="887">
        <v>2456104.7000000002</v>
      </c>
      <c r="E393" s="887">
        <v>793438.22938000015</v>
      </c>
    </row>
    <row r="394" spans="1:5">
      <c r="B394" s="886" t="s">
        <v>1278</v>
      </c>
      <c r="C394" s="886" t="s">
        <v>395</v>
      </c>
      <c r="D394" s="887">
        <v>499748.9</v>
      </c>
      <c r="E394" s="887">
        <v>103026.71141</v>
      </c>
    </row>
    <row r="395" spans="1:5">
      <c r="B395" s="886" t="s">
        <v>1280</v>
      </c>
      <c r="C395" s="886" t="s">
        <v>396</v>
      </c>
      <c r="D395" s="887">
        <v>169218.4</v>
      </c>
      <c r="E395" s="887">
        <v>63433.790929999996</v>
      </c>
    </row>
    <row r="396" spans="1:5">
      <c r="B396" s="886" t="s">
        <v>1282</v>
      </c>
      <c r="C396" s="886" t="s">
        <v>397</v>
      </c>
      <c r="D396" s="887">
        <v>70610.399999999994</v>
      </c>
      <c r="E396" s="887">
        <v>66132.627950000009</v>
      </c>
    </row>
    <row r="397" spans="1:5">
      <c r="B397" s="886" t="s">
        <v>1338</v>
      </c>
      <c r="C397" s="886" t="s">
        <v>398</v>
      </c>
      <c r="D397" s="887">
        <v>138843.6</v>
      </c>
      <c r="E397" s="887">
        <v>94026.281170000002</v>
      </c>
    </row>
    <row r="398" spans="1:5">
      <c r="B398" s="886" t="s">
        <v>1321</v>
      </c>
      <c r="C398" s="886" t="s">
        <v>1339</v>
      </c>
      <c r="D398" s="887">
        <v>26764.7</v>
      </c>
      <c r="E398" s="887">
        <v>23553.06597</v>
      </c>
    </row>
    <row r="399" spans="1:5">
      <c r="B399" s="886" t="s">
        <v>1340</v>
      </c>
      <c r="C399" s="886" t="s">
        <v>1341</v>
      </c>
      <c r="D399" s="887">
        <v>0</v>
      </c>
      <c r="E399" s="887">
        <v>0</v>
      </c>
    </row>
    <row r="400" spans="1:5">
      <c r="B400" s="886" t="s">
        <v>1342</v>
      </c>
      <c r="C400" s="886" t="s">
        <v>401</v>
      </c>
      <c r="D400" s="887">
        <v>33120.800000000003</v>
      </c>
      <c r="E400" s="887">
        <v>147671.89938999998</v>
      </c>
    </row>
    <row r="401" spans="1:120">
      <c r="B401" s="886" t="s">
        <v>1343</v>
      </c>
      <c r="C401" s="886" t="s">
        <v>402</v>
      </c>
      <c r="D401" s="887">
        <v>266326.09999999998</v>
      </c>
      <c r="E401" s="887">
        <v>203174.48550000001</v>
      </c>
    </row>
    <row r="402" spans="1:120">
      <c r="B402" s="886" t="s">
        <v>1344</v>
      </c>
      <c r="C402" s="886" t="s">
        <v>403</v>
      </c>
      <c r="D402" s="887">
        <v>452176.2</v>
      </c>
      <c r="E402" s="887">
        <v>156537.06981999998</v>
      </c>
    </row>
    <row r="403" spans="1:120">
      <c r="B403" s="886" t="s">
        <v>1345</v>
      </c>
      <c r="C403" s="886" t="s">
        <v>404</v>
      </c>
      <c r="D403" s="887">
        <v>1335532</v>
      </c>
      <c r="E403" s="887">
        <v>1621333.38851</v>
      </c>
    </row>
    <row r="404" spans="1:120">
      <c r="B404" s="886" t="s">
        <v>1346</v>
      </c>
      <c r="C404" s="886" t="s">
        <v>405</v>
      </c>
      <c r="D404" s="887">
        <v>282452.7</v>
      </c>
      <c r="E404" s="887">
        <v>43809.351510000008</v>
      </c>
    </row>
    <row r="405" spans="1:120">
      <c r="B405" s="886" t="s">
        <v>1347</v>
      </c>
      <c r="C405" s="886" t="s">
        <v>1348</v>
      </c>
      <c r="D405" s="887">
        <v>0</v>
      </c>
      <c r="E405" s="887"/>
    </row>
    <row r="406" spans="1:120">
      <c r="B406" s="886" t="s">
        <v>1349</v>
      </c>
      <c r="C406" s="886" t="s">
        <v>407</v>
      </c>
      <c r="D406" s="887">
        <v>48603.9</v>
      </c>
      <c r="E406" s="887">
        <v>24306.718789999995</v>
      </c>
    </row>
    <row r="407" spans="1:120">
      <c r="B407" s="886" t="s">
        <v>1350</v>
      </c>
      <c r="C407" s="886" t="s">
        <v>408</v>
      </c>
      <c r="D407" s="887">
        <v>193242.9</v>
      </c>
      <c r="E407" s="887">
        <v>517283.42895999999</v>
      </c>
    </row>
    <row r="408" spans="1:120">
      <c r="B408" s="886" t="s">
        <v>1351</v>
      </c>
      <c r="C408" s="886" t="s">
        <v>409</v>
      </c>
      <c r="D408" s="887">
        <v>49190.8</v>
      </c>
      <c r="E408" s="887">
        <v>33522.196300000003</v>
      </c>
    </row>
    <row r="409" spans="1:120">
      <c r="B409" s="886" t="s">
        <v>1352</v>
      </c>
      <c r="C409" s="886" t="s">
        <v>410</v>
      </c>
      <c r="D409" s="887">
        <v>21672.5</v>
      </c>
      <c r="E409" s="887">
        <v>28953.362679999998</v>
      </c>
    </row>
    <row r="410" spans="1:120">
      <c r="B410" s="886" t="s">
        <v>1353</v>
      </c>
      <c r="C410" s="886" t="s">
        <v>411</v>
      </c>
      <c r="D410" s="887">
        <v>7852985.0999999996</v>
      </c>
      <c r="E410" s="887">
        <v>2518086.3534100004</v>
      </c>
    </row>
    <row r="411" spans="1:120">
      <c r="B411" s="886" t="s">
        <v>1354</v>
      </c>
      <c r="C411" s="886"/>
      <c r="D411" s="887">
        <v>3142302.8</v>
      </c>
      <c r="E411" s="887">
        <v>2133118.5383799993</v>
      </c>
    </row>
    <row r="412" spans="1:120">
      <c r="B412" s="886" t="s">
        <v>1201</v>
      </c>
      <c r="C412" s="888" t="s">
        <v>82</v>
      </c>
      <c r="D412" s="887">
        <v>18919861.199999999</v>
      </c>
      <c r="E412" s="893">
        <f>SUM(E391:E411)</f>
        <v>14538033.203959996</v>
      </c>
      <c r="F412" s="889">
        <f>+'[4]IS GOBI 3b'!$AX$19/1000</f>
        <v>14538033.203959998</v>
      </c>
      <c r="G412" s="889">
        <f>+F412-E412</f>
        <v>0</v>
      </c>
    </row>
    <row r="413" spans="1:120">
      <c r="A413" t="s">
        <v>1201</v>
      </c>
      <c r="B413" t="s">
        <v>1201</v>
      </c>
      <c r="C413" t="s">
        <v>1201</v>
      </c>
      <c r="D413" t="s">
        <v>1201</v>
      </c>
      <c r="BP413" s="983"/>
      <c r="BQ413" s="983"/>
      <c r="BR413" s="983"/>
      <c r="BS413" s="983"/>
      <c r="BT413" s="983"/>
      <c r="BU413" s="983"/>
      <c r="BV413" s="983"/>
      <c r="BW413" s="983"/>
      <c r="BX413" s="983"/>
      <c r="BY413" s="983"/>
      <c r="BZ413" s="983"/>
      <c r="CA413" s="983"/>
      <c r="CB413" s="983"/>
      <c r="CC413" s="983"/>
      <c r="CD413" s="983"/>
      <c r="CE413" s="983"/>
      <c r="CF413" s="983"/>
      <c r="CG413" s="983"/>
      <c r="CH413" s="983"/>
      <c r="CI413" s="983"/>
      <c r="CJ413" s="983"/>
      <c r="CK413" s="983"/>
      <c r="CL413" s="983"/>
      <c r="CM413" s="983"/>
      <c r="CN413" s="983"/>
      <c r="CO413" s="983"/>
      <c r="CP413" s="983"/>
      <c r="CQ413" s="983"/>
      <c r="CR413" s="983"/>
      <c r="CS413" s="983"/>
      <c r="CT413" s="983"/>
      <c r="CU413" s="983"/>
      <c r="CV413" s="983"/>
      <c r="CW413" s="983"/>
      <c r="CX413" s="983"/>
      <c r="CY413" s="983"/>
      <c r="CZ413" s="983"/>
      <c r="DA413" s="983"/>
      <c r="DB413" s="983"/>
      <c r="DC413" s="983"/>
      <c r="DD413" s="983"/>
      <c r="DE413" s="983"/>
      <c r="DF413" s="983"/>
      <c r="DG413" s="983"/>
      <c r="DH413" s="983"/>
      <c r="DI413" s="983"/>
      <c r="DJ413" s="983"/>
      <c r="DK413" s="983"/>
      <c r="DL413" s="983"/>
      <c r="DM413" s="983"/>
      <c r="DN413" s="983"/>
      <c r="DO413" s="983"/>
      <c r="DP413" s="983"/>
    </row>
    <row r="414" spans="1:120" ht="39.6">
      <c r="E414" s="884" t="s">
        <v>1411</v>
      </c>
    </row>
    <row r="415" spans="1:120" ht="39.6">
      <c r="E415" s="884" t="s">
        <v>1412</v>
      </c>
    </row>
    <row r="416" spans="1:120">
      <c r="A416" s="883" t="s">
        <v>1200</v>
      </c>
    </row>
    <row r="417" spans="1:120">
      <c r="B417" s="896" t="s">
        <v>1355</v>
      </c>
    </row>
    <row r="418" spans="1:120">
      <c r="E418" s="884" t="s">
        <v>1203</v>
      </c>
    </row>
    <row r="419" spans="1:120">
      <c r="B419" s="885" t="s">
        <v>79</v>
      </c>
      <c r="C419" s="885" t="s">
        <v>5</v>
      </c>
      <c r="D419" s="885" t="s">
        <v>365</v>
      </c>
      <c r="E419" s="885" t="s">
        <v>365</v>
      </c>
    </row>
    <row r="420" spans="1:120">
      <c r="B420" s="886" t="s">
        <v>947</v>
      </c>
      <c r="C420" s="886" t="s">
        <v>1356</v>
      </c>
      <c r="D420" s="887">
        <v>3260</v>
      </c>
      <c r="E420" s="887">
        <f>+'[3]IS GOBI 3b'!$AX$101/1000</f>
        <v>2116.3530000000001</v>
      </c>
    </row>
    <row r="421" spans="1:120">
      <c r="B421" s="886" t="s">
        <v>950</v>
      </c>
      <c r="C421" s="886" t="s">
        <v>1357</v>
      </c>
      <c r="D421" s="887">
        <v>23687.9</v>
      </c>
      <c r="E421" s="887">
        <f>+'[3]IS GOBI 3b'!$AX$102/1000</f>
        <v>74450.236369999999</v>
      </c>
    </row>
    <row r="422" spans="1:120">
      <c r="B422" s="886" t="s">
        <v>961</v>
      </c>
      <c r="C422" s="886" t="s">
        <v>417</v>
      </c>
      <c r="D422" s="887">
        <v>978735</v>
      </c>
      <c r="E422" s="887">
        <f>+'[3]IS GOBI 3b'!$AX$103/1000</f>
        <v>98631.544560000009</v>
      </c>
    </row>
    <row r="423" spans="1:120">
      <c r="B423" s="886" t="s">
        <v>962</v>
      </c>
      <c r="C423" s="886" t="s">
        <v>231</v>
      </c>
      <c r="D423" s="887">
        <v>109745.4</v>
      </c>
      <c r="E423" s="887">
        <f>+'[3]IS GOBI 3b'!$AX$104/1000+'[3]IS GOBI 3b'!$AX$110/1000+'[3]IS GOBI 3b'!$AX$111/1000</f>
        <v>453654.67673000006</v>
      </c>
    </row>
    <row r="424" spans="1:120">
      <c r="B424" s="886" t="s">
        <v>963</v>
      </c>
      <c r="C424" s="888" t="s">
        <v>82</v>
      </c>
      <c r="D424" s="887">
        <f>SUM(D420:D423)</f>
        <v>1115428.3</v>
      </c>
      <c r="E424" s="887">
        <f>SUM(E420:E423)</f>
        <v>628852.81066000008</v>
      </c>
      <c r="F424" s="283">
        <f>+E424-'[3]IS GOBI 3b'!$BA$100/1000</f>
        <v>0</v>
      </c>
      <c r="G424" s="283"/>
    </row>
    <row r="425" spans="1:120">
      <c r="A425" t="s">
        <v>1201</v>
      </c>
      <c r="B425" t="s">
        <v>1201</v>
      </c>
      <c r="C425" t="s">
        <v>1201</v>
      </c>
      <c r="D425" t="s">
        <v>1201</v>
      </c>
      <c r="BP425" s="983"/>
      <c r="BQ425" s="983"/>
      <c r="BR425" s="983"/>
      <c r="BS425" s="983"/>
      <c r="BT425" s="983"/>
      <c r="BU425" s="983"/>
      <c r="BV425" s="983"/>
      <c r="BW425" s="983"/>
      <c r="BX425" s="983"/>
      <c r="BY425" s="983"/>
      <c r="BZ425" s="983"/>
      <c r="CA425" s="983"/>
      <c r="CB425" s="983"/>
      <c r="CC425" s="983"/>
      <c r="CD425" s="983"/>
      <c r="CE425" s="983"/>
      <c r="CF425" s="983"/>
      <c r="CG425" s="983"/>
      <c r="CH425" s="983"/>
      <c r="CI425" s="983"/>
      <c r="CJ425" s="983"/>
      <c r="CK425" s="983"/>
      <c r="CL425" s="983"/>
      <c r="CM425" s="983"/>
      <c r="CN425" s="983"/>
      <c r="CO425" s="983"/>
      <c r="CP425" s="983"/>
      <c r="CQ425" s="983"/>
      <c r="CR425" s="983"/>
      <c r="CS425" s="983"/>
      <c r="CT425" s="983"/>
      <c r="CU425" s="983"/>
      <c r="CV425" s="983"/>
      <c r="CW425" s="983"/>
      <c r="CX425" s="983"/>
      <c r="CY425" s="983"/>
      <c r="CZ425" s="983"/>
      <c r="DA425" s="983"/>
      <c r="DB425" s="983"/>
      <c r="DC425" s="983"/>
      <c r="DD425" s="983"/>
      <c r="DE425" s="983"/>
      <c r="DF425" s="983"/>
      <c r="DG425" s="983"/>
      <c r="DH425" s="983"/>
      <c r="DI425" s="983"/>
      <c r="DJ425" s="983"/>
      <c r="DK425" s="983"/>
      <c r="DL425" s="983"/>
      <c r="DM425" s="983"/>
      <c r="DN425" s="983"/>
      <c r="DO425" s="983"/>
      <c r="DP425" s="983"/>
    </row>
    <row r="426" spans="1:120" ht="39.6">
      <c r="E426" s="884" t="s">
        <v>1411</v>
      </c>
    </row>
    <row r="427" spans="1:120" ht="39.6">
      <c r="E427" s="884" t="s">
        <v>1412</v>
      </c>
    </row>
    <row r="428" spans="1:120">
      <c r="A428" s="883" t="s">
        <v>1200</v>
      </c>
    </row>
    <row r="429" spans="1:120">
      <c r="B429" s="883" t="s">
        <v>1358</v>
      </c>
    </row>
    <row r="430" spans="1:120">
      <c r="F430" s="884" t="s">
        <v>1203</v>
      </c>
    </row>
    <row r="431" spans="1:120" ht="26.4">
      <c r="B431" s="885" t="s">
        <v>79</v>
      </c>
      <c r="C431" s="885" t="s">
        <v>5</v>
      </c>
      <c r="D431" s="885" t="s">
        <v>420</v>
      </c>
      <c r="E431" s="885" t="s">
        <v>365</v>
      </c>
      <c r="F431" s="885" t="s">
        <v>365</v>
      </c>
    </row>
    <row r="432" spans="1:120">
      <c r="B432" s="886" t="s">
        <v>1220</v>
      </c>
      <c r="C432" s="886" t="s">
        <v>1359</v>
      </c>
      <c r="D432" s="887">
        <v>0</v>
      </c>
      <c r="E432" s="887">
        <v>22519539.100000001</v>
      </c>
      <c r="F432" s="887">
        <v>25062883.699999999</v>
      </c>
    </row>
    <row r="433" spans="1:120">
      <c r="B433" s="886" t="s">
        <v>1206</v>
      </c>
      <c r="C433" s="886" t="s">
        <v>1360</v>
      </c>
      <c r="D433" s="887">
        <v>0</v>
      </c>
      <c r="E433" s="887">
        <v>4966379.5</v>
      </c>
      <c r="F433" s="887">
        <v>6009008.5</v>
      </c>
    </row>
    <row r="434" spans="1:120">
      <c r="B434" s="886" t="s">
        <v>1273</v>
      </c>
      <c r="C434" s="886" t="s">
        <v>1361</v>
      </c>
      <c r="D434" s="887">
        <v>0</v>
      </c>
      <c r="E434" s="887">
        <v>3591492.7</v>
      </c>
      <c r="F434" s="887">
        <v>3760693.1</v>
      </c>
    </row>
    <row r="435" spans="1:120">
      <c r="B435" s="886" t="s">
        <v>1278</v>
      </c>
      <c r="C435" s="888" t="s">
        <v>82</v>
      </c>
      <c r="D435" s="887">
        <v>0</v>
      </c>
      <c r="E435" s="887">
        <v>31077411.300000001</v>
      </c>
      <c r="F435" s="887">
        <v>34832585.299999997</v>
      </c>
    </row>
    <row r="436" spans="1:120">
      <c r="A436" t="s">
        <v>1201</v>
      </c>
      <c r="B436" t="s">
        <v>1201</v>
      </c>
      <c r="C436" t="s">
        <v>1201</v>
      </c>
      <c r="D436" t="s">
        <v>1201</v>
      </c>
      <c r="BP436" s="983"/>
      <c r="BQ436" s="983"/>
      <c r="BR436" s="983"/>
      <c r="BS436" s="983"/>
      <c r="BT436" s="983"/>
      <c r="BU436" s="983"/>
      <c r="BV436" s="983"/>
      <c r="BW436" s="983"/>
      <c r="BX436" s="983"/>
      <c r="BY436" s="983"/>
      <c r="BZ436" s="983"/>
      <c r="CA436" s="983"/>
      <c r="CB436" s="983"/>
      <c r="CC436" s="983"/>
      <c r="CD436" s="983"/>
      <c r="CE436" s="983"/>
      <c r="CF436" s="983"/>
      <c r="CG436" s="983"/>
      <c r="CH436" s="983"/>
      <c r="CI436" s="983"/>
      <c r="CJ436" s="983"/>
      <c r="CK436" s="983"/>
      <c r="CL436" s="983"/>
      <c r="CM436" s="983"/>
      <c r="CN436" s="983"/>
      <c r="CO436" s="983"/>
      <c r="CP436" s="983"/>
      <c r="CQ436" s="983"/>
      <c r="CR436" s="983"/>
      <c r="CS436" s="983"/>
      <c r="CT436" s="983"/>
      <c r="CU436" s="983"/>
      <c r="CV436" s="983"/>
      <c r="CW436" s="983"/>
      <c r="CX436" s="983"/>
      <c r="CY436" s="983"/>
      <c r="CZ436" s="983"/>
      <c r="DA436" s="983"/>
      <c r="DB436" s="983"/>
      <c r="DC436" s="983"/>
      <c r="DD436" s="983"/>
      <c r="DE436" s="983"/>
      <c r="DF436" s="983"/>
      <c r="DG436" s="983"/>
      <c r="DH436" s="983"/>
      <c r="DI436" s="983"/>
      <c r="DJ436" s="983"/>
      <c r="DK436" s="983"/>
      <c r="DL436" s="983"/>
      <c r="DM436" s="983"/>
      <c r="DN436" s="983"/>
      <c r="DO436" s="983"/>
      <c r="DP436" s="983"/>
    </row>
    <row r="437" spans="1:120" ht="39.6">
      <c r="E437" s="884" t="s">
        <v>1411</v>
      </c>
    </row>
    <row r="438" spans="1:120" ht="39.6">
      <c r="E438" s="884" t="s">
        <v>1412</v>
      </c>
    </row>
    <row r="439" spans="1:120">
      <c r="A439" s="883" t="s">
        <v>1200</v>
      </c>
    </row>
    <row r="440" spans="1:120">
      <c r="B440" s="883" t="s">
        <v>1362</v>
      </c>
    </row>
    <row r="441" spans="1:120">
      <c r="E441" s="884" t="s">
        <v>1203</v>
      </c>
    </row>
    <row r="442" spans="1:120">
      <c r="B442" s="885" t="s">
        <v>79</v>
      </c>
      <c r="C442" s="885" t="s">
        <v>5</v>
      </c>
      <c r="D442" s="885" t="s">
        <v>194</v>
      </c>
      <c r="E442" s="885" t="s">
        <v>195</v>
      </c>
    </row>
    <row r="443" spans="1:120" ht="26.4">
      <c r="B443" s="886" t="s">
        <v>947</v>
      </c>
      <c r="C443" s="886" t="s">
        <v>1363</v>
      </c>
      <c r="D443" s="887">
        <v>6650891</v>
      </c>
      <c r="E443" s="887">
        <v>9501.8913149999989</v>
      </c>
    </row>
    <row r="444" spans="1:120" ht="26.4">
      <c r="B444" s="886" t="s">
        <v>950</v>
      </c>
      <c r="C444" s="886" t="s">
        <v>1364</v>
      </c>
      <c r="D444" s="887">
        <v>-1166622.6000000001</v>
      </c>
      <c r="E444" s="887">
        <v>-1598608.6625219998</v>
      </c>
    </row>
    <row r="445" spans="1:120" ht="26.4">
      <c r="B445" s="886" t="s">
        <v>961</v>
      </c>
      <c r="C445" s="888" t="s">
        <v>1365</v>
      </c>
      <c r="D445" s="887">
        <v>5484268.4000000004</v>
      </c>
      <c r="E445" s="887">
        <f>+E443+E444</f>
        <v>-1589106.7712069999</v>
      </c>
      <c r="F445" s="71">
        <f>+E445-'[4]IS GOBI 3b'!$AX$132/1000</f>
        <v>0</v>
      </c>
      <c r="G445" s="71"/>
      <c r="H445" s="894"/>
    </row>
    <row r="446" spans="1:120">
      <c r="B446" s="883" t="s">
        <v>1204</v>
      </c>
      <c r="F446" s="283"/>
      <c r="H446" s="894"/>
    </row>
    <row r="447" spans="1:120">
      <c r="B447" s="884" t="s">
        <v>1201</v>
      </c>
      <c r="H447" s="894"/>
    </row>
    <row r="448" spans="1:120">
      <c r="A448" t="s">
        <v>1201</v>
      </c>
      <c r="B448" t="s">
        <v>1201</v>
      </c>
      <c r="C448" t="s">
        <v>1201</v>
      </c>
      <c r="D448" t="s">
        <v>1201</v>
      </c>
      <c r="BP448" s="983"/>
      <c r="BQ448" s="983"/>
      <c r="BR448" s="983"/>
      <c r="BS448" s="983"/>
      <c r="BT448" s="983"/>
      <c r="BU448" s="983"/>
      <c r="BV448" s="983"/>
      <c r="BW448" s="983"/>
      <c r="BX448" s="983"/>
      <c r="BY448" s="983"/>
      <c r="BZ448" s="983"/>
      <c r="CA448" s="983"/>
      <c r="CB448" s="983"/>
      <c r="CC448" s="983"/>
      <c r="CD448" s="983"/>
      <c r="CE448" s="983"/>
      <c r="CF448" s="983"/>
      <c r="CG448" s="983"/>
      <c r="CH448" s="983"/>
      <c r="CI448" s="983"/>
      <c r="CJ448" s="983"/>
      <c r="CK448" s="983"/>
      <c r="CL448" s="983"/>
      <c r="CM448" s="983"/>
      <c r="CN448" s="983"/>
      <c r="CO448" s="983"/>
      <c r="CP448" s="983"/>
      <c r="CQ448" s="983"/>
      <c r="CR448" s="983"/>
      <c r="CS448" s="983"/>
      <c r="CT448" s="983"/>
      <c r="CU448" s="983"/>
      <c r="CV448" s="983"/>
      <c r="CW448" s="983"/>
      <c r="CX448" s="983"/>
      <c r="CY448" s="983"/>
      <c r="CZ448" s="983"/>
      <c r="DA448" s="983"/>
      <c r="DB448" s="983"/>
      <c r="DC448" s="983"/>
      <c r="DD448" s="983"/>
      <c r="DE448" s="983"/>
      <c r="DF448" s="983"/>
      <c r="DG448" s="983"/>
      <c r="DH448" s="983"/>
      <c r="DI448" s="983"/>
      <c r="DJ448" s="983"/>
      <c r="DK448" s="983"/>
      <c r="DL448" s="983"/>
      <c r="DM448" s="983"/>
      <c r="DN448" s="983"/>
      <c r="DO448" s="983"/>
      <c r="DP448" s="983"/>
    </row>
    <row r="449" spans="1:120" ht="39.6">
      <c r="E449" s="884" t="s">
        <v>1411</v>
      </c>
    </row>
    <row r="450" spans="1:120" ht="39.6">
      <c r="E450" s="884" t="s">
        <v>1412</v>
      </c>
    </row>
    <row r="451" spans="1:120">
      <c r="A451" s="883" t="s">
        <v>1200</v>
      </c>
    </row>
    <row r="452" spans="1:120">
      <c r="B452" s="883" t="s">
        <v>1366</v>
      </c>
    </row>
    <row r="453" spans="1:120">
      <c r="G453" s="884" t="s">
        <v>1203</v>
      </c>
    </row>
    <row r="454" spans="1:120" ht="39.6">
      <c r="B454" s="885" t="s">
        <v>79</v>
      </c>
      <c r="C454" s="885" t="s">
        <v>5</v>
      </c>
      <c r="D454" s="885" t="s">
        <v>434</v>
      </c>
      <c r="E454" s="885" t="s">
        <v>435</v>
      </c>
      <c r="F454" s="885" t="s">
        <v>436</v>
      </c>
      <c r="G454" s="885" t="s">
        <v>454</v>
      </c>
    </row>
    <row r="455" spans="1:120">
      <c r="B455" s="886" t="s">
        <v>1220</v>
      </c>
      <c r="C455" s="886" t="s">
        <v>438</v>
      </c>
      <c r="D455" s="887" t="s">
        <v>1419</v>
      </c>
      <c r="E455" s="887" t="s">
        <v>1201</v>
      </c>
      <c r="F455" s="887" t="s">
        <v>1201</v>
      </c>
      <c r="G455" s="887" t="s">
        <v>1201</v>
      </c>
    </row>
    <row r="456" spans="1:120">
      <c r="B456" s="886" t="s">
        <v>1206</v>
      </c>
      <c r="C456" s="886" t="s">
        <v>1368</v>
      </c>
      <c r="D456" s="887" t="s">
        <v>1420</v>
      </c>
      <c r="E456" s="887" t="s">
        <v>1201</v>
      </c>
      <c r="F456" s="887" t="s">
        <v>1201</v>
      </c>
      <c r="G456" s="887" t="s">
        <v>1201</v>
      </c>
    </row>
    <row r="457" spans="1:120">
      <c r="B457" s="886" t="s">
        <v>1273</v>
      </c>
      <c r="C457" s="886" t="s">
        <v>440</v>
      </c>
      <c r="D457" s="887" t="s">
        <v>1421</v>
      </c>
      <c r="E457" s="887" t="s">
        <v>1201</v>
      </c>
      <c r="F457" s="887" t="s">
        <v>1201</v>
      </c>
      <c r="G457" s="887" t="s">
        <v>1201</v>
      </c>
    </row>
    <row r="458" spans="1:120">
      <c r="A458" t="s">
        <v>1201</v>
      </c>
      <c r="B458" t="s">
        <v>1201</v>
      </c>
      <c r="C458" t="s">
        <v>1201</v>
      </c>
      <c r="D458" t="s">
        <v>1201</v>
      </c>
      <c r="BP458" s="983"/>
      <c r="BQ458" s="983"/>
      <c r="BR458" s="983"/>
      <c r="BS458" s="983"/>
      <c r="BT458" s="983"/>
      <c r="BU458" s="983"/>
      <c r="BV458" s="983"/>
      <c r="BW458" s="983"/>
      <c r="BX458" s="983"/>
      <c r="BY458" s="983"/>
      <c r="BZ458" s="983"/>
      <c r="CA458" s="983"/>
      <c r="CB458" s="983"/>
      <c r="CC458" s="983"/>
      <c r="CD458" s="983"/>
      <c r="CE458" s="983"/>
      <c r="CF458" s="983"/>
      <c r="CG458" s="983"/>
      <c r="CH458" s="983"/>
      <c r="CI458" s="983"/>
      <c r="CJ458" s="983"/>
      <c r="CK458" s="983"/>
      <c r="CL458" s="983"/>
      <c r="CM458" s="983"/>
      <c r="CN458" s="983"/>
      <c r="CO458" s="983"/>
      <c r="CP458" s="983"/>
      <c r="CQ458" s="983"/>
      <c r="CR458" s="983"/>
      <c r="CS458" s="983"/>
      <c r="CT458" s="983"/>
      <c r="CU458" s="983"/>
      <c r="CV458" s="983"/>
      <c r="CW458" s="983"/>
      <c r="CX458" s="983"/>
      <c r="CY458" s="983"/>
      <c r="CZ458" s="983"/>
      <c r="DA458" s="983"/>
      <c r="DB458" s="983"/>
      <c r="DC458" s="983"/>
      <c r="DD458" s="983"/>
      <c r="DE458" s="983"/>
      <c r="DF458" s="983"/>
      <c r="DG458" s="983"/>
      <c r="DH458" s="983"/>
      <c r="DI458" s="983"/>
      <c r="DJ458" s="983"/>
      <c r="DK458" s="983"/>
      <c r="DL458" s="983"/>
      <c r="DM458" s="983"/>
      <c r="DN458" s="983"/>
      <c r="DO458" s="983"/>
      <c r="DP458" s="983"/>
    </row>
    <row r="459" spans="1:120" ht="39.6">
      <c r="E459" s="884" t="s">
        <v>1411</v>
      </c>
    </row>
    <row r="460" spans="1:120" ht="39.6">
      <c r="E460" s="884" t="s">
        <v>1412</v>
      </c>
    </row>
    <row r="461" spans="1:120">
      <c r="A461" s="883" t="s">
        <v>1200</v>
      </c>
    </row>
    <row r="462" spans="1:120">
      <c r="B462" s="883" t="s">
        <v>1371</v>
      </c>
    </row>
    <row r="463" spans="1:120">
      <c r="E463" s="884" t="s">
        <v>1203</v>
      </c>
    </row>
    <row r="464" spans="1:120">
      <c r="B464" s="885" t="s">
        <v>79</v>
      </c>
      <c r="C464" s="885" t="s">
        <v>5</v>
      </c>
      <c r="D464" s="885" t="s">
        <v>194</v>
      </c>
      <c r="E464" s="885" t="s">
        <v>195</v>
      </c>
    </row>
    <row r="465" spans="1:120">
      <c r="B465" s="886" t="s">
        <v>1220</v>
      </c>
      <c r="C465" s="886" t="s">
        <v>1372</v>
      </c>
      <c r="D465" s="887">
        <v>0</v>
      </c>
      <c r="E465" s="887">
        <v>0</v>
      </c>
    </row>
    <row r="466" spans="1:120">
      <c r="B466" s="886" t="s">
        <v>1206</v>
      </c>
      <c r="C466" s="886" t="s">
        <v>1373</v>
      </c>
      <c r="D466" s="887">
        <v>0</v>
      </c>
      <c r="E466" s="887">
        <v>0</v>
      </c>
    </row>
    <row r="467" spans="1:120">
      <c r="B467" s="886" t="s">
        <v>1273</v>
      </c>
      <c r="C467" s="886" t="s">
        <v>1374</v>
      </c>
      <c r="D467" s="887">
        <v>0</v>
      </c>
      <c r="E467" s="887">
        <v>0</v>
      </c>
    </row>
    <row r="468" spans="1:120">
      <c r="B468" s="886" t="s">
        <v>1278</v>
      </c>
      <c r="C468" s="886" t="s">
        <v>1375</v>
      </c>
      <c r="D468" s="887">
        <v>0</v>
      </c>
      <c r="E468" s="887">
        <v>0</v>
      </c>
    </row>
    <row r="469" spans="1:120">
      <c r="B469" s="886" t="s">
        <v>1280</v>
      </c>
      <c r="C469" s="886" t="s">
        <v>448</v>
      </c>
      <c r="D469" s="887">
        <v>0</v>
      </c>
      <c r="E469" s="887">
        <v>0</v>
      </c>
    </row>
    <row r="470" spans="1:120">
      <c r="B470" s="886" t="s">
        <v>1282</v>
      </c>
      <c r="C470" s="888" t="s">
        <v>82</v>
      </c>
      <c r="D470" s="887">
        <v>0</v>
      </c>
      <c r="E470" s="887">
        <v>0</v>
      </c>
    </row>
    <row r="471" spans="1:120">
      <c r="B471" s="883" t="s">
        <v>1204</v>
      </c>
    </row>
    <row r="472" spans="1:120">
      <c r="B472" s="884" t="s">
        <v>1201</v>
      </c>
    </row>
    <row r="473" spans="1:120">
      <c r="A473" t="s">
        <v>1201</v>
      </c>
      <c r="B473" t="s">
        <v>1201</v>
      </c>
      <c r="C473" t="s">
        <v>1201</v>
      </c>
      <c r="D473" t="s">
        <v>1201</v>
      </c>
      <c r="BP473" s="983"/>
      <c r="BQ473" s="983"/>
      <c r="BR473" s="983"/>
      <c r="BS473" s="983"/>
      <c r="BT473" s="983"/>
      <c r="BU473" s="983"/>
      <c r="BV473" s="983"/>
      <c r="BW473" s="983"/>
      <c r="BX473" s="983"/>
      <c r="BY473" s="983"/>
      <c r="BZ473" s="983"/>
      <c r="CA473" s="983"/>
      <c r="CB473" s="983"/>
      <c r="CC473" s="983"/>
      <c r="CD473" s="983"/>
      <c r="CE473" s="983"/>
      <c r="CF473" s="983"/>
      <c r="CG473" s="983"/>
      <c r="CH473" s="983"/>
      <c r="CI473" s="983"/>
      <c r="CJ473" s="983"/>
      <c r="CK473" s="983"/>
      <c r="CL473" s="983"/>
      <c r="CM473" s="983"/>
      <c r="CN473" s="983"/>
      <c r="CO473" s="983"/>
      <c r="CP473" s="983"/>
      <c r="CQ473" s="983"/>
      <c r="CR473" s="983"/>
      <c r="CS473" s="983"/>
      <c r="CT473" s="983"/>
      <c r="CU473" s="983"/>
      <c r="CV473" s="983"/>
      <c r="CW473" s="983"/>
      <c r="CX473" s="983"/>
      <c r="CY473" s="983"/>
      <c r="CZ473" s="983"/>
      <c r="DA473" s="983"/>
      <c r="DB473" s="983"/>
      <c r="DC473" s="983"/>
      <c r="DD473" s="983"/>
      <c r="DE473" s="983"/>
      <c r="DF473" s="983"/>
      <c r="DG473" s="983"/>
      <c r="DH473" s="983"/>
      <c r="DI473" s="983"/>
      <c r="DJ473" s="983"/>
      <c r="DK473" s="983"/>
      <c r="DL473" s="983"/>
      <c r="DM473" s="983"/>
      <c r="DN473" s="983"/>
      <c r="DO473" s="983"/>
      <c r="DP473" s="983"/>
    </row>
    <row r="474" spans="1:120" ht="39.6">
      <c r="E474" s="884" t="s">
        <v>1411</v>
      </c>
    </row>
    <row r="475" spans="1:120" ht="39.6">
      <c r="E475" s="884" t="s">
        <v>1412</v>
      </c>
    </row>
    <row r="476" spans="1:120">
      <c r="A476" s="883" t="s">
        <v>1200</v>
      </c>
    </row>
    <row r="477" spans="1:120">
      <c r="B477" s="883" t="s">
        <v>1376</v>
      </c>
    </row>
    <row r="478" spans="1:120">
      <c r="F478" s="884" t="s">
        <v>1203</v>
      </c>
    </row>
    <row r="479" spans="1:120" ht="26.4">
      <c r="B479" s="885" t="s">
        <v>79</v>
      </c>
      <c r="C479" s="885" t="s">
        <v>5</v>
      </c>
      <c r="D479" s="885" t="s">
        <v>452</v>
      </c>
      <c r="E479" s="885" t="s">
        <v>199</v>
      </c>
      <c r="F479" s="885" t="s">
        <v>454</v>
      </c>
    </row>
    <row r="480" spans="1:120" ht="26.4">
      <c r="B480" s="886" t="s">
        <v>947</v>
      </c>
      <c r="C480" s="886" t="s">
        <v>1400</v>
      </c>
      <c r="D480" s="887" t="s">
        <v>1422</v>
      </c>
      <c r="E480" s="887" t="s">
        <v>1423</v>
      </c>
      <c r="F480" s="887" t="s">
        <v>1424</v>
      </c>
    </row>
    <row r="481" spans="1:120" ht="26.4">
      <c r="B481" s="886" t="s">
        <v>947</v>
      </c>
      <c r="C481" s="886" t="s">
        <v>1400</v>
      </c>
      <c r="D481" s="887" t="s">
        <v>1425</v>
      </c>
      <c r="E481" s="887" t="s">
        <v>1426</v>
      </c>
      <c r="F481" s="887" t="s">
        <v>1427</v>
      </c>
    </row>
    <row r="482" spans="1:120" ht="39.6">
      <c r="B482" s="886" t="s">
        <v>947</v>
      </c>
      <c r="C482" s="886" t="s">
        <v>1400</v>
      </c>
      <c r="D482" s="887" t="s">
        <v>1425</v>
      </c>
      <c r="E482" s="887" t="s">
        <v>1428</v>
      </c>
      <c r="F482" s="887" t="s">
        <v>1429</v>
      </c>
    </row>
    <row r="483" spans="1:120">
      <c r="B483" s="886" t="s">
        <v>947</v>
      </c>
      <c r="C483" s="886" t="s">
        <v>1400</v>
      </c>
      <c r="D483" s="887" t="s">
        <v>1430</v>
      </c>
      <c r="E483" s="887" t="s">
        <v>1431</v>
      </c>
      <c r="F483" s="887" t="s">
        <v>1430</v>
      </c>
    </row>
    <row r="484" spans="1:120">
      <c r="B484" s="886" t="s">
        <v>947</v>
      </c>
      <c r="C484" s="886" t="s">
        <v>1400</v>
      </c>
      <c r="D484" s="887" t="s">
        <v>1432</v>
      </c>
      <c r="E484" s="887" t="s">
        <v>1433</v>
      </c>
      <c r="F484" s="887" t="s">
        <v>1201</v>
      </c>
    </row>
    <row r="485" spans="1:120">
      <c r="B485" s="886" t="s">
        <v>947</v>
      </c>
      <c r="C485" s="886" t="s">
        <v>1400</v>
      </c>
      <c r="D485" s="887" t="s">
        <v>1434</v>
      </c>
      <c r="E485" s="887" t="s">
        <v>1435</v>
      </c>
      <c r="F485" s="887" t="s">
        <v>1201</v>
      </c>
    </row>
    <row r="486" spans="1:120">
      <c r="A486" t="s">
        <v>1201</v>
      </c>
      <c r="B486" t="s">
        <v>1201</v>
      </c>
      <c r="C486" t="s">
        <v>1201</v>
      </c>
      <c r="D486" t="s">
        <v>1201</v>
      </c>
      <c r="BP486" s="983"/>
      <c r="BQ486" s="983"/>
      <c r="BR486" s="983"/>
      <c r="BS486" s="983"/>
      <c r="BT486" s="983"/>
      <c r="BU486" s="983"/>
      <c r="BV486" s="983"/>
      <c r="BW486" s="983"/>
      <c r="BX486" s="983"/>
      <c r="BY486" s="983"/>
      <c r="BZ486" s="983"/>
      <c r="CA486" s="983"/>
      <c r="CB486" s="983"/>
      <c r="CC486" s="983"/>
      <c r="CD486" s="983"/>
      <c r="CE486" s="983"/>
      <c r="CF486" s="983"/>
      <c r="CG486" s="983"/>
      <c r="CH486" s="983"/>
      <c r="CI486" s="983"/>
      <c r="CJ486" s="983"/>
      <c r="CK486" s="983"/>
      <c r="CL486" s="983"/>
      <c r="CM486" s="983"/>
      <c r="CN486" s="983"/>
      <c r="CO486" s="983"/>
      <c r="CP486" s="983"/>
      <c r="CQ486" s="983"/>
      <c r="CR486" s="983"/>
      <c r="CS486" s="983"/>
      <c r="CT486" s="983"/>
      <c r="CU486" s="983"/>
      <c r="CV486" s="983"/>
      <c r="CW486" s="983"/>
      <c r="CX486" s="983"/>
      <c r="CY486" s="983"/>
      <c r="CZ486" s="983"/>
      <c r="DA486" s="983"/>
      <c r="DB486" s="983"/>
      <c r="DC486" s="983"/>
      <c r="DD486" s="983"/>
      <c r="DE486" s="983"/>
      <c r="DF486" s="983"/>
      <c r="DG486" s="983"/>
      <c r="DH486" s="983"/>
      <c r="DI486" s="983"/>
      <c r="DJ486" s="983"/>
      <c r="DK486" s="983"/>
      <c r="DL486" s="983"/>
      <c r="DM486" s="983"/>
      <c r="DN486" s="983"/>
      <c r="DO486" s="983"/>
      <c r="DP486" s="983"/>
    </row>
    <row r="487" spans="1:120" ht="39.6">
      <c r="E487" s="884" t="s">
        <v>1411</v>
      </c>
    </row>
    <row r="488" spans="1:120" ht="39.6">
      <c r="E488" s="884" t="s">
        <v>1412</v>
      </c>
    </row>
    <row r="489" spans="1:120">
      <c r="A489" s="883" t="s">
        <v>1200</v>
      </c>
    </row>
    <row r="490" spans="1:120">
      <c r="B490" s="896" t="s">
        <v>1377</v>
      </c>
    </row>
    <row r="491" spans="1:120">
      <c r="O491" s="884" t="s">
        <v>1203</v>
      </c>
    </row>
    <row r="492" spans="1:120" ht="39.6">
      <c r="B492" s="885" t="s">
        <v>79</v>
      </c>
      <c r="C492" s="885" t="s">
        <v>5</v>
      </c>
      <c r="D492" s="885" t="s">
        <v>195</v>
      </c>
      <c r="E492" s="885" t="s">
        <v>1378</v>
      </c>
      <c r="F492" s="885" t="s">
        <v>462</v>
      </c>
      <c r="G492" s="885" t="s">
        <v>463</v>
      </c>
      <c r="H492" s="885" t="s">
        <v>1379</v>
      </c>
      <c r="I492" s="885" t="s">
        <v>465</v>
      </c>
      <c r="J492" s="885" t="s">
        <v>466</v>
      </c>
      <c r="K492" s="885" t="s">
        <v>467</v>
      </c>
      <c r="L492" s="885" t="s">
        <v>1436</v>
      </c>
      <c r="M492" s="885" t="s">
        <v>469</v>
      </c>
      <c r="N492" s="885" t="s">
        <v>199</v>
      </c>
      <c r="O492" s="885" t="s">
        <v>195</v>
      </c>
    </row>
    <row r="493" spans="1:120">
      <c r="B493" s="886" t="s">
        <v>1201</v>
      </c>
      <c r="C493" s="888" t="s">
        <v>470</v>
      </c>
      <c r="D493" s="887">
        <v>0</v>
      </c>
      <c r="E493" s="887">
        <v>0</v>
      </c>
      <c r="F493" s="887">
        <v>0</v>
      </c>
      <c r="G493" s="887">
        <v>0</v>
      </c>
      <c r="H493" s="887">
        <v>0</v>
      </c>
      <c r="I493" s="887">
        <v>0</v>
      </c>
      <c r="J493" s="887">
        <v>0</v>
      </c>
      <c r="K493" s="887">
        <v>0</v>
      </c>
      <c r="L493" s="887">
        <v>0</v>
      </c>
      <c r="M493" s="887">
        <v>0</v>
      </c>
      <c r="N493" s="887">
        <v>0</v>
      </c>
      <c r="O493" s="887">
        <v>0</v>
      </c>
    </row>
    <row r="494" spans="1:120">
      <c r="B494" s="886" t="s">
        <v>150</v>
      </c>
      <c r="C494" s="886" t="s">
        <v>248</v>
      </c>
      <c r="D494" s="887">
        <v>0</v>
      </c>
      <c r="E494" s="887">
        <v>0</v>
      </c>
      <c r="F494" s="887">
        <v>0</v>
      </c>
      <c r="G494" s="887">
        <v>0</v>
      </c>
      <c r="H494" s="887">
        <v>0</v>
      </c>
      <c r="I494" s="887">
        <v>0</v>
      </c>
      <c r="J494" s="887">
        <v>0</v>
      </c>
      <c r="K494" s="887">
        <v>0</v>
      </c>
      <c r="L494" s="887">
        <v>0</v>
      </c>
      <c r="M494" s="887">
        <v>0</v>
      </c>
      <c r="N494" s="887">
        <v>0</v>
      </c>
      <c r="O494" s="887">
        <v>0</v>
      </c>
    </row>
    <row r="495" spans="1:120">
      <c r="B495" s="886" t="s">
        <v>948</v>
      </c>
      <c r="C495" s="886" t="s">
        <v>249</v>
      </c>
      <c r="D495" s="887">
        <v>0</v>
      </c>
      <c r="E495" s="887">
        <v>81067.820000000007</v>
      </c>
      <c r="F495" s="887">
        <v>0</v>
      </c>
      <c r="G495" s="887">
        <v>0</v>
      </c>
      <c r="H495" s="887">
        <v>0</v>
      </c>
      <c r="I495" s="887">
        <v>0</v>
      </c>
      <c r="J495" s="887">
        <v>0</v>
      </c>
      <c r="K495" s="887">
        <v>0</v>
      </c>
      <c r="L495" s="887">
        <v>0</v>
      </c>
      <c r="M495" s="887">
        <v>0</v>
      </c>
      <c r="N495" s="887">
        <v>18695046.300000001</v>
      </c>
      <c r="O495" s="887">
        <v>0</v>
      </c>
    </row>
    <row r="496" spans="1:120">
      <c r="B496" s="886" t="s">
        <v>1231</v>
      </c>
      <c r="C496" s="886" t="s">
        <v>1380</v>
      </c>
      <c r="D496" s="887">
        <v>0</v>
      </c>
      <c r="E496" s="887">
        <v>0</v>
      </c>
      <c r="F496" s="887">
        <v>0</v>
      </c>
      <c r="G496" s="887">
        <v>0</v>
      </c>
      <c r="H496" s="887">
        <v>0</v>
      </c>
      <c r="I496" s="887">
        <v>0</v>
      </c>
      <c r="J496" s="887">
        <v>0</v>
      </c>
      <c r="K496" s="887">
        <v>0</v>
      </c>
      <c r="L496" s="887">
        <v>0</v>
      </c>
      <c r="M496" s="887">
        <v>0</v>
      </c>
      <c r="N496" s="887">
        <v>0</v>
      </c>
      <c r="O496" s="887">
        <v>0</v>
      </c>
    </row>
    <row r="497" spans="2:15">
      <c r="B497" s="886" t="s">
        <v>1232</v>
      </c>
      <c r="C497" s="886" t="s">
        <v>472</v>
      </c>
      <c r="D497" s="887">
        <v>0</v>
      </c>
      <c r="E497" s="887">
        <v>0</v>
      </c>
      <c r="F497" s="887">
        <v>0</v>
      </c>
      <c r="G497" s="887">
        <v>0</v>
      </c>
      <c r="H497" s="887">
        <v>0</v>
      </c>
      <c r="I497" s="887">
        <v>0</v>
      </c>
      <c r="J497" s="887">
        <v>0</v>
      </c>
      <c r="K497" s="887">
        <v>0</v>
      </c>
      <c r="L497" s="887">
        <v>0</v>
      </c>
      <c r="M497" s="887">
        <v>0</v>
      </c>
      <c r="N497" s="887">
        <v>0</v>
      </c>
      <c r="O497" s="887">
        <v>0</v>
      </c>
    </row>
    <row r="498" spans="2:15">
      <c r="B498" s="886" t="s">
        <v>949</v>
      </c>
      <c r="C498" s="886" t="s">
        <v>1381</v>
      </c>
      <c r="D498" s="887">
        <v>0</v>
      </c>
      <c r="E498" s="887">
        <v>5650068.4893536009</v>
      </c>
      <c r="F498" s="887">
        <v>0</v>
      </c>
      <c r="G498" s="887">
        <v>0</v>
      </c>
      <c r="H498" s="887">
        <v>19722424.899999999</v>
      </c>
      <c r="I498" s="887">
        <v>0</v>
      </c>
      <c r="J498" s="887">
        <v>0</v>
      </c>
      <c r="K498" s="887">
        <v>0</v>
      </c>
      <c r="L498" s="887">
        <v>0</v>
      </c>
      <c r="M498" s="887">
        <v>0</v>
      </c>
      <c r="N498" s="887">
        <v>49938795</v>
      </c>
      <c r="O498" s="887">
        <v>0</v>
      </c>
    </row>
    <row r="499" spans="2:15">
      <c r="B499" s="886" t="s">
        <v>1242</v>
      </c>
      <c r="C499" s="886" t="s">
        <v>251</v>
      </c>
      <c r="D499" s="887">
        <v>0</v>
      </c>
      <c r="E499" s="887">
        <v>0</v>
      </c>
      <c r="F499" s="887">
        <v>0</v>
      </c>
      <c r="G499" s="887">
        <v>0</v>
      </c>
      <c r="H499" s="887">
        <v>0</v>
      </c>
      <c r="I499" s="887">
        <v>0</v>
      </c>
      <c r="J499" s="887">
        <v>0</v>
      </c>
      <c r="K499" s="887">
        <v>0</v>
      </c>
      <c r="L499" s="887">
        <v>0</v>
      </c>
      <c r="M499" s="887">
        <v>0</v>
      </c>
      <c r="N499" s="887">
        <v>739113.3</v>
      </c>
      <c r="O499" s="887">
        <v>0</v>
      </c>
    </row>
    <row r="500" spans="2:15">
      <c r="B500" s="886" t="s">
        <v>1244</v>
      </c>
      <c r="C500" s="886" t="s">
        <v>252</v>
      </c>
      <c r="D500" s="887">
        <v>0</v>
      </c>
      <c r="E500" s="887">
        <v>50161.79</v>
      </c>
      <c r="F500" s="887">
        <v>0</v>
      </c>
      <c r="G500" s="887">
        <v>0</v>
      </c>
      <c r="H500" s="887">
        <v>0</v>
      </c>
      <c r="I500" s="887">
        <v>0</v>
      </c>
      <c r="J500" s="887">
        <v>0</v>
      </c>
      <c r="K500" s="887">
        <v>0</v>
      </c>
      <c r="L500" s="887">
        <v>0</v>
      </c>
      <c r="M500" s="887">
        <v>0</v>
      </c>
      <c r="N500" s="887">
        <v>2050174.9</v>
      </c>
      <c r="O500" s="887">
        <v>0</v>
      </c>
    </row>
    <row r="501" spans="2:15">
      <c r="B501" s="886" t="s">
        <v>1246</v>
      </c>
      <c r="C501" s="886" t="s">
        <v>253</v>
      </c>
      <c r="D501" s="887">
        <v>0</v>
      </c>
      <c r="E501" s="887">
        <v>185752.603</v>
      </c>
      <c r="F501" s="887">
        <v>0</v>
      </c>
      <c r="G501" s="887">
        <v>0</v>
      </c>
      <c r="H501" s="887">
        <v>0</v>
      </c>
      <c r="I501" s="887">
        <v>0</v>
      </c>
      <c r="J501" s="887">
        <v>0</v>
      </c>
      <c r="K501" s="887">
        <v>0</v>
      </c>
      <c r="L501" s="887">
        <v>0</v>
      </c>
      <c r="M501" s="887">
        <v>0</v>
      </c>
      <c r="N501" s="887">
        <v>1442997.1</v>
      </c>
      <c r="O501" s="887">
        <v>0</v>
      </c>
    </row>
    <row r="502" spans="2:15">
      <c r="B502" s="886" t="s">
        <v>1382</v>
      </c>
      <c r="C502" s="886" t="s">
        <v>18</v>
      </c>
      <c r="D502" s="887">
        <v>0</v>
      </c>
      <c r="E502" s="887">
        <v>0</v>
      </c>
      <c r="F502" s="887">
        <v>0</v>
      </c>
      <c r="G502" s="887">
        <v>0</v>
      </c>
      <c r="H502" s="887">
        <v>0</v>
      </c>
      <c r="I502" s="887">
        <v>0</v>
      </c>
      <c r="J502" s="887">
        <v>0</v>
      </c>
      <c r="K502" s="887">
        <v>0</v>
      </c>
      <c r="L502" s="887">
        <v>0</v>
      </c>
      <c r="M502" s="887">
        <v>0</v>
      </c>
      <c r="N502" s="887">
        <v>0</v>
      </c>
      <c r="O502" s="887">
        <v>0</v>
      </c>
    </row>
    <row r="503" spans="2:15">
      <c r="B503" s="886" t="s">
        <v>1383</v>
      </c>
      <c r="C503" s="886" t="s">
        <v>1384</v>
      </c>
      <c r="D503" s="887">
        <v>0</v>
      </c>
      <c r="E503" s="887">
        <v>0</v>
      </c>
      <c r="F503" s="887">
        <v>0</v>
      </c>
      <c r="G503" s="887">
        <v>0</v>
      </c>
      <c r="H503" s="887">
        <v>0</v>
      </c>
      <c r="I503" s="887">
        <v>0</v>
      </c>
      <c r="J503" s="887">
        <v>0</v>
      </c>
      <c r="K503" s="887">
        <v>0</v>
      </c>
      <c r="L503" s="887">
        <v>0</v>
      </c>
      <c r="M503" s="887">
        <v>0</v>
      </c>
      <c r="N503" s="887">
        <v>0</v>
      </c>
      <c r="O503" s="887">
        <v>0</v>
      </c>
    </row>
    <row r="504" spans="2:15">
      <c r="B504" s="886" t="s">
        <v>1385</v>
      </c>
      <c r="C504" s="886" t="s">
        <v>1386</v>
      </c>
      <c r="D504" s="887">
        <v>0</v>
      </c>
      <c r="E504" s="887">
        <v>0</v>
      </c>
      <c r="F504" s="887">
        <v>0</v>
      </c>
      <c r="G504" s="887">
        <v>0</v>
      </c>
      <c r="H504" s="887">
        <v>0</v>
      </c>
      <c r="I504" s="887">
        <v>0</v>
      </c>
      <c r="J504" s="887">
        <v>0</v>
      </c>
      <c r="K504" s="887">
        <v>0</v>
      </c>
      <c r="L504" s="887">
        <v>0</v>
      </c>
      <c r="M504" s="887">
        <v>0</v>
      </c>
      <c r="N504" s="887">
        <v>0</v>
      </c>
      <c r="O504" s="887">
        <v>0</v>
      </c>
    </row>
    <row r="505" spans="2:15">
      <c r="B505" s="886" t="s">
        <v>1387</v>
      </c>
      <c r="C505" s="888" t="s">
        <v>1388</v>
      </c>
      <c r="D505" s="887">
        <v>0</v>
      </c>
      <c r="E505" s="887">
        <v>5967050.7023536013</v>
      </c>
      <c r="F505" s="887">
        <v>0</v>
      </c>
      <c r="G505" s="887">
        <v>0</v>
      </c>
      <c r="H505" s="887">
        <v>19722424.899999999</v>
      </c>
      <c r="I505" s="887">
        <v>0</v>
      </c>
      <c r="J505" s="887">
        <v>0</v>
      </c>
      <c r="K505" s="887">
        <v>0</v>
      </c>
      <c r="L505" s="887">
        <v>0</v>
      </c>
      <c r="M505" s="887">
        <v>0</v>
      </c>
      <c r="N505" s="887">
        <v>72866126.599999994</v>
      </c>
      <c r="O505" s="887">
        <v>0</v>
      </c>
    </row>
    <row r="506" spans="2:15">
      <c r="B506" s="886" t="s">
        <v>1201</v>
      </c>
      <c r="C506" s="888" t="s">
        <v>1389</v>
      </c>
      <c r="D506" s="887">
        <v>0</v>
      </c>
      <c r="E506" s="887">
        <v>0</v>
      </c>
      <c r="F506" s="887">
        <v>0</v>
      </c>
      <c r="G506" s="887">
        <v>0</v>
      </c>
      <c r="H506" s="887">
        <v>0</v>
      </c>
      <c r="I506" s="887">
        <v>0</v>
      </c>
      <c r="J506" s="887">
        <v>0</v>
      </c>
      <c r="K506" s="887">
        <v>0</v>
      </c>
      <c r="L506" s="887">
        <v>0</v>
      </c>
      <c r="M506" s="887">
        <v>0</v>
      </c>
      <c r="N506" s="887">
        <v>0</v>
      </c>
      <c r="O506" s="887">
        <v>0</v>
      </c>
    </row>
    <row r="507" spans="2:15">
      <c r="B507" s="886" t="s">
        <v>951</v>
      </c>
      <c r="C507" s="886" t="s">
        <v>274</v>
      </c>
      <c r="D507" s="887">
        <v>0</v>
      </c>
      <c r="E507" s="887">
        <v>0</v>
      </c>
      <c r="F507" s="887">
        <v>0</v>
      </c>
      <c r="G507" s="887">
        <v>0</v>
      </c>
      <c r="H507" s="887">
        <v>0</v>
      </c>
      <c r="I507" s="887">
        <v>0</v>
      </c>
      <c r="J507" s="887">
        <v>0</v>
      </c>
      <c r="K507" s="887">
        <v>0</v>
      </c>
      <c r="L507" s="887">
        <v>0</v>
      </c>
      <c r="M507" s="887">
        <v>0</v>
      </c>
      <c r="N507" s="887">
        <v>0</v>
      </c>
      <c r="O507" s="887">
        <v>0</v>
      </c>
    </row>
    <row r="508" spans="2:15">
      <c r="B508" s="886" t="s">
        <v>953</v>
      </c>
      <c r="C508" s="886" t="s">
        <v>1262</v>
      </c>
      <c r="D508" s="887">
        <v>0</v>
      </c>
      <c r="E508" s="887">
        <v>0</v>
      </c>
      <c r="F508" s="887">
        <v>0</v>
      </c>
      <c r="G508" s="887">
        <v>0</v>
      </c>
      <c r="H508" s="887">
        <v>0</v>
      </c>
      <c r="I508" s="887">
        <v>0</v>
      </c>
      <c r="J508" s="887">
        <v>0</v>
      </c>
      <c r="K508" s="887">
        <v>0</v>
      </c>
      <c r="L508" s="887">
        <v>0</v>
      </c>
      <c r="M508" s="887">
        <v>0</v>
      </c>
      <c r="N508" s="887">
        <v>294006.09999999998</v>
      </c>
      <c r="O508" s="887">
        <v>0</v>
      </c>
    </row>
    <row r="509" spans="2:15">
      <c r="B509" s="886" t="s">
        <v>1247</v>
      </c>
      <c r="C509" s="886" t="s">
        <v>1390</v>
      </c>
      <c r="D509" s="887">
        <v>0</v>
      </c>
      <c r="E509" s="887">
        <v>158767.45522999999</v>
      </c>
      <c r="F509" s="887">
        <v>0</v>
      </c>
      <c r="G509" s="887">
        <v>0</v>
      </c>
      <c r="H509" s="887">
        <v>0</v>
      </c>
      <c r="I509" s="887">
        <v>0</v>
      </c>
      <c r="J509" s="887">
        <v>0</v>
      </c>
      <c r="K509" s="887">
        <v>0</v>
      </c>
      <c r="L509" s="887">
        <v>0</v>
      </c>
      <c r="M509" s="887">
        <v>0</v>
      </c>
      <c r="N509" s="887">
        <v>294006.09999999998</v>
      </c>
      <c r="O509" s="887">
        <v>0</v>
      </c>
    </row>
    <row r="510" spans="2:15">
      <c r="B510" s="886" t="s">
        <v>1249</v>
      </c>
      <c r="C510" s="886" t="s">
        <v>483</v>
      </c>
      <c r="D510" s="887">
        <v>0</v>
      </c>
      <c r="E510" s="887">
        <v>0</v>
      </c>
      <c r="F510" s="887">
        <v>0</v>
      </c>
      <c r="G510" s="887">
        <v>0</v>
      </c>
      <c r="H510" s="887">
        <v>0</v>
      </c>
      <c r="I510" s="887">
        <v>0</v>
      </c>
      <c r="J510" s="887">
        <v>0</v>
      </c>
      <c r="K510" s="887">
        <v>0</v>
      </c>
      <c r="L510" s="887">
        <v>0</v>
      </c>
      <c r="M510" s="887">
        <v>0</v>
      </c>
      <c r="N510" s="887">
        <v>0</v>
      </c>
      <c r="O510" s="887">
        <v>0</v>
      </c>
    </row>
    <row r="511" spans="2:15">
      <c r="B511" s="886" t="s">
        <v>954</v>
      </c>
      <c r="C511" s="886" t="s">
        <v>276</v>
      </c>
      <c r="D511" s="887">
        <v>0</v>
      </c>
      <c r="E511" s="887">
        <v>0</v>
      </c>
      <c r="F511" s="887">
        <v>0</v>
      </c>
      <c r="G511" s="887">
        <v>0</v>
      </c>
      <c r="H511" s="887">
        <v>0</v>
      </c>
      <c r="I511" s="887">
        <v>0</v>
      </c>
      <c r="J511" s="887">
        <v>0</v>
      </c>
      <c r="K511" s="887">
        <v>0</v>
      </c>
      <c r="L511" s="887">
        <v>0</v>
      </c>
      <c r="M511" s="887">
        <v>0</v>
      </c>
      <c r="N511" s="887">
        <v>0</v>
      </c>
      <c r="O511" s="887">
        <v>0</v>
      </c>
    </row>
    <row r="512" spans="2:15">
      <c r="B512" s="886" t="s">
        <v>955</v>
      </c>
      <c r="C512" s="886" t="s">
        <v>277</v>
      </c>
      <c r="D512" s="887">
        <v>0</v>
      </c>
      <c r="E512" s="887">
        <v>31809.309239999999</v>
      </c>
      <c r="F512" s="887">
        <v>0</v>
      </c>
      <c r="G512" s="887">
        <v>0</v>
      </c>
      <c r="H512" s="887">
        <v>0</v>
      </c>
      <c r="I512" s="887">
        <v>0</v>
      </c>
      <c r="J512" s="887">
        <v>0</v>
      </c>
      <c r="K512" s="887">
        <v>0</v>
      </c>
      <c r="L512" s="887">
        <v>0</v>
      </c>
      <c r="M512" s="887">
        <v>0</v>
      </c>
      <c r="N512" s="887">
        <v>0</v>
      </c>
      <c r="O512" s="887">
        <v>0</v>
      </c>
    </row>
    <row r="513" spans="1:120">
      <c r="B513" s="886" t="s">
        <v>1391</v>
      </c>
      <c r="C513" s="886" t="s">
        <v>278</v>
      </c>
      <c r="D513" s="887">
        <v>0</v>
      </c>
      <c r="E513" s="887">
        <v>0</v>
      </c>
      <c r="F513" s="887">
        <v>0</v>
      </c>
      <c r="G513" s="887">
        <v>0</v>
      </c>
      <c r="H513" s="887">
        <v>0</v>
      </c>
      <c r="I513" s="887">
        <v>0</v>
      </c>
      <c r="J513" s="887">
        <v>0</v>
      </c>
      <c r="K513" s="887">
        <v>0</v>
      </c>
      <c r="L513" s="887">
        <v>0</v>
      </c>
      <c r="M513" s="887">
        <v>0</v>
      </c>
      <c r="N513" s="887">
        <v>0</v>
      </c>
      <c r="O513" s="887">
        <v>0</v>
      </c>
    </row>
    <row r="514" spans="1:120">
      <c r="B514" s="886" t="s">
        <v>1392</v>
      </c>
      <c r="C514" s="886" t="s">
        <v>279</v>
      </c>
      <c r="D514" s="887">
        <v>0</v>
      </c>
      <c r="E514" s="887">
        <v>0</v>
      </c>
      <c r="F514" s="887">
        <v>0</v>
      </c>
      <c r="G514" s="887">
        <v>0</v>
      </c>
      <c r="H514" s="887">
        <v>0</v>
      </c>
      <c r="I514" s="887">
        <v>0</v>
      </c>
      <c r="J514" s="887">
        <v>0</v>
      </c>
      <c r="K514" s="887">
        <v>0</v>
      </c>
      <c r="L514" s="887">
        <v>0</v>
      </c>
      <c r="M514" s="887">
        <v>0</v>
      </c>
      <c r="N514" s="887">
        <v>0</v>
      </c>
      <c r="O514" s="887">
        <v>0</v>
      </c>
    </row>
    <row r="515" spans="1:120">
      <c r="B515" s="886" t="s">
        <v>1393</v>
      </c>
      <c r="C515" s="886" t="s">
        <v>280</v>
      </c>
      <c r="D515" s="887">
        <v>0</v>
      </c>
      <c r="E515" s="887">
        <v>0</v>
      </c>
      <c r="F515" s="887">
        <v>0</v>
      </c>
      <c r="G515" s="887">
        <v>0</v>
      </c>
      <c r="H515" s="887">
        <v>0</v>
      </c>
      <c r="I515" s="887">
        <v>0</v>
      </c>
      <c r="J515" s="887">
        <v>0</v>
      </c>
      <c r="K515" s="887">
        <v>0</v>
      </c>
      <c r="L515" s="887">
        <v>0</v>
      </c>
      <c r="M515" s="887">
        <v>0</v>
      </c>
      <c r="N515" s="887">
        <v>2500911.6</v>
      </c>
      <c r="O515" s="887">
        <v>0</v>
      </c>
    </row>
    <row r="516" spans="1:120" ht="26.4">
      <c r="B516" s="886" t="s">
        <v>1394</v>
      </c>
      <c r="C516" s="886" t="s">
        <v>1395</v>
      </c>
      <c r="D516" s="887">
        <v>0</v>
      </c>
      <c r="E516" s="887">
        <v>0</v>
      </c>
      <c r="F516" s="887">
        <v>0</v>
      </c>
      <c r="G516" s="887">
        <v>0</v>
      </c>
      <c r="H516" s="887">
        <v>0</v>
      </c>
      <c r="I516" s="887">
        <v>0</v>
      </c>
      <c r="J516" s="887">
        <v>0</v>
      </c>
      <c r="K516" s="887">
        <v>0</v>
      </c>
      <c r="L516" s="887">
        <v>0</v>
      </c>
      <c r="M516" s="887">
        <v>0</v>
      </c>
      <c r="N516" s="887">
        <v>0</v>
      </c>
      <c r="O516" s="887">
        <v>0</v>
      </c>
    </row>
    <row r="517" spans="1:120">
      <c r="B517" s="886" t="s">
        <v>1396</v>
      </c>
      <c r="C517" s="888" t="s">
        <v>1397</v>
      </c>
      <c r="D517" s="887">
        <v>0</v>
      </c>
      <c r="E517" s="887">
        <v>190576.76446999999</v>
      </c>
      <c r="F517" s="887">
        <v>0</v>
      </c>
      <c r="G517" s="887">
        <v>0</v>
      </c>
      <c r="H517" s="887">
        <v>0</v>
      </c>
      <c r="I517" s="887">
        <v>0</v>
      </c>
      <c r="J517" s="887">
        <v>0</v>
      </c>
      <c r="K517" s="887">
        <v>0</v>
      </c>
      <c r="L517" s="887">
        <v>0</v>
      </c>
      <c r="M517" s="887">
        <v>0</v>
      </c>
      <c r="N517" s="887">
        <v>2794917.7</v>
      </c>
      <c r="O517" s="887">
        <v>0</v>
      </c>
    </row>
    <row r="518" spans="1:120">
      <c r="B518" s="886" t="s">
        <v>961</v>
      </c>
      <c r="C518" s="888" t="s">
        <v>487</v>
      </c>
      <c r="D518" s="887">
        <v>0</v>
      </c>
      <c r="E518" s="887">
        <v>0</v>
      </c>
      <c r="F518" s="887">
        <v>0</v>
      </c>
      <c r="G518" s="887">
        <v>0</v>
      </c>
      <c r="H518" s="887">
        <v>0</v>
      </c>
      <c r="I518" s="887">
        <v>0</v>
      </c>
      <c r="J518" s="887">
        <v>0</v>
      </c>
      <c r="K518" s="887">
        <v>0</v>
      </c>
      <c r="L518" s="887">
        <v>0</v>
      </c>
      <c r="M518" s="887">
        <v>0</v>
      </c>
      <c r="N518" s="887">
        <v>0</v>
      </c>
      <c r="O518" s="887">
        <v>0</v>
      </c>
    </row>
    <row r="519" spans="1:120">
      <c r="B519" s="886" t="s">
        <v>1208</v>
      </c>
      <c r="C519" s="886" t="s">
        <v>488</v>
      </c>
      <c r="D519" s="887">
        <v>0</v>
      </c>
      <c r="E519" s="887">
        <v>0</v>
      </c>
      <c r="F519" s="887">
        <v>0</v>
      </c>
      <c r="G519" s="887">
        <v>0</v>
      </c>
      <c r="H519" s="887">
        <v>0</v>
      </c>
      <c r="I519" s="887">
        <v>0</v>
      </c>
      <c r="J519" s="887">
        <v>0</v>
      </c>
      <c r="K519" s="887">
        <v>0</v>
      </c>
      <c r="L519" s="887">
        <v>0</v>
      </c>
      <c r="M519" s="887">
        <v>0</v>
      </c>
      <c r="N519" s="887">
        <v>0</v>
      </c>
      <c r="O519" s="887">
        <v>0</v>
      </c>
    </row>
    <row r="520" spans="1:120">
      <c r="B520" s="886" t="s">
        <v>1210</v>
      </c>
      <c r="C520" s="886" t="s">
        <v>17</v>
      </c>
      <c r="D520" s="887">
        <v>0</v>
      </c>
      <c r="E520" s="887">
        <v>0</v>
      </c>
      <c r="F520" s="887">
        <v>0</v>
      </c>
      <c r="G520" s="887">
        <v>0</v>
      </c>
      <c r="H520" s="887">
        <v>0</v>
      </c>
      <c r="I520" s="887">
        <v>0</v>
      </c>
      <c r="J520" s="887">
        <v>0</v>
      </c>
      <c r="K520" s="887">
        <v>0</v>
      </c>
      <c r="L520" s="887">
        <v>0</v>
      </c>
      <c r="M520" s="887">
        <v>0</v>
      </c>
      <c r="N520" s="887">
        <v>0</v>
      </c>
      <c r="O520" s="887">
        <v>0</v>
      </c>
    </row>
    <row r="521" spans="1:120">
      <c r="B521" s="886" t="s">
        <v>962</v>
      </c>
      <c r="C521" s="888" t="s">
        <v>82</v>
      </c>
      <c r="D521" s="887">
        <v>0</v>
      </c>
      <c r="E521" s="893">
        <f>E517+E505</f>
        <v>6157627.4668236012</v>
      </c>
      <c r="F521" s="887">
        <v>0</v>
      </c>
      <c r="G521" s="887">
        <v>0</v>
      </c>
      <c r="H521" s="887">
        <v>19722424.899999999</v>
      </c>
      <c r="I521" s="887">
        <v>0</v>
      </c>
      <c r="J521" s="887">
        <v>0</v>
      </c>
      <c r="K521" s="887">
        <v>0</v>
      </c>
      <c r="L521" s="887">
        <v>0</v>
      </c>
      <c r="M521" s="887">
        <v>0</v>
      </c>
      <c r="N521" s="887">
        <v>75661044.299999997</v>
      </c>
      <c r="O521" s="887">
        <v>0</v>
      </c>
    </row>
    <row r="522" spans="1:120">
      <c r="A522" t="s">
        <v>1201</v>
      </c>
      <c r="B522" t="s">
        <v>1201</v>
      </c>
      <c r="C522" t="s">
        <v>1201</v>
      </c>
      <c r="D522" t="s">
        <v>1201</v>
      </c>
      <c r="BP522" s="983"/>
      <c r="BQ522" s="983"/>
      <c r="BR522" s="983"/>
      <c r="BS522" s="983"/>
      <c r="BT522" s="983"/>
      <c r="BU522" s="983"/>
      <c r="BV522" s="983"/>
      <c r="BW522" s="983"/>
      <c r="BX522" s="983"/>
      <c r="BY522" s="983"/>
      <c r="BZ522" s="983"/>
      <c r="CA522" s="983"/>
      <c r="CB522" s="983"/>
      <c r="CC522" s="983"/>
      <c r="CD522" s="983"/>
      <c r="CE522" s="983"/>
      <c r="CF522" s="983"/>
      <c r="CG522" s="983"/>
      <c r="CH522" s="983"/>
      <c r="CI522" s="983"/>
      <c r="CJ522" s="983"/>
      <c r="CK522" s="983"/>
      <c r="CL522" s="983"/>
      <c r="CM522" s="983"/>
      <c r="CN522" s="983"/>
      <c r="CO522" s="983"/>
      <c r="CP522" s="983"/>
      <c r="CQ522" s="983"/>
      <c r="CR522" s="983"/>
      <c r="CS522" s="983"/>
      <c r="CT522" s="983"/>
      <c r="CU522" s="983"/>
      <c r="CV522" s="983"/>
      <c r="CW522" s="983"/>
      <c r="CX522" s="983"/>
      <c r="CY522" s="983"/>
      <c r="CZ522" s="983"/>
      <c r="DA522" s="983"/>
      <c r="DB522" s="983"/>
      <c r="DC522" s="983"/>
      <c r="DD522" s="983"/>
      <c r="DE522" s="983"/>
      <c r="DF522" s="983"/>
      <c r="DG522" s="983"/>
      <c r="DH522" s="983"/>
      <c r="DI522" s="983"/>
      <c r="DJ522" s="983"/>
      <c r="DK522" s="983"/>
      <c r="DL522" s="983"/>
      <c r="DM522" s="983"/>
      <c r="DN522" s="983"/>
      <c r="DO522" s="983"/>
      <c r="DP522" s="983"/>
    </row>
    <row r="523" spans="1:120" ht="39.6">
      <c r="E523" s="884" t="s">
        <v>1411</v>
      </c>
    </row>
    <row r="524" spans="1:120" ht="39.6">
      <c r="E524" s="884" t="s">
        <v>1412</v>
      </c>
      <c r="F524" s="904"/>
    </row>
    <row r="525" spans="1:120">
      <c r="A525" s="883" t="s">
        <v>1200</v>
      </c>
    </row>
    <row r="526" spans="1:120">
      <c r="B526" s="896" t="s">
        <v>1398</v>
      </c>
    </row>
    <row r="527" spans="1:120">
      <c r="E527" s="884" t="s">
        <v>1203</v>
      </c>
    </row>
    <row r="528" spans="1:120">
      <c r="B528" s="885" t="s">
        <v>79</v>
      </c>
      <c r="C528" s="885" t="s">
        <v>5</v>
      </c>
      <c r="D528" s="885" t="s">
        <v>391</v>
      </c>
      <c r="E528" s="885" t="s">
        <v>391</v>
      </c>
    </row>
    <row r="529" spans="2:5">
      <c r="B529" s="886" t="s">
        <v>1220</v>
      </c>
      <c r="C529" s="886" t="s">
        <v>392</v>
      </c>
      <c r="D529" s="887">
        <v>3769222.3</v>
      </c>
      <c r="E529" s="887">
        <f>+'[4]IS GOBI 3b'!$AX$55/1000</f>
        <v>5256588.5641800007</v>
      </c>
    </row>
    <row r="530" spans="2:5" ht="26.4">
      <c r="B530" s="886" t="s">
        <v>1206</v>
      </c>
      <c r="C530" s="886" t="s">
        <v>393</v>
      </c>
      <c r="D530" s="887">
        <v>519778.4</v>
      </c>
      <c r="E530" s="887">
        <f>+'[4]IS GOBI 3b'!$AX$57/1000</f>
        <v>259946.07303999999</v>
      </c>
    </row>
    <row r="531" spans="2:5" ht="26.4">
      <c r="B531" s="886" t="s">
        <v>1273</v>
      </c>
      <c r="C531" s="886" t="s">
        <v>1337</v>
      </c>
      <c r="D531" s="887">
        <v>1041392.7</v>
      </c>
      <c r="E531" s="887">
        <f>+'[4]IS GOBI 3b'!$AX$58/1000+'[4]IS GOBI 3b'!$AX$59/1000</f>
        <v>561931.21963466448</v>
      </c>
    </row>
    <row r="532" spans="2:5">
      <c r="B532" s="886" t="s">
        <v>1278</v>
      </c>
      <c r="C532" s="886" t="s">
        <v>395</v>
      </c>
      <c r="D532" s="887">
        <v>296829.2</v>
      </c>
      <c r="E532" s="887">
        <f>+'[4]IS GOBI 3b'!$AX$60/1000</f>
        <v>9570.4785399999982</v>
      </c>
    </row>
    <row r="533" spans="2:5">
      <c r="B533" s="886" t="s">
        <v>1280</v>
      </c>
      <c r="C533" s="886" t="s">
        <v>396</v>
      </c>
      <c r="D533" s="887">
        <v>93479.5</v>
      </c>
      <c r="E533" s="887">
        <f>+'[4]IS GOBI 3b'!$AX$61/1000</f>
        <v>69283.996680000011</v>
      </c>
    </row>
    <row r="534" spans="2:5">
      <c r="B534" s="886" t="s">
        <v>1282</v>
      </c>
      <c r="C534" s="886" t="s">
        <v>397</v>
      </c>
      <c r="D534" s="887">
        <v>49419.199999999997</v>
      </c>
      <c r="E534" s="887">
        <f>+'[4]IS GOBI 3b'!$AX$62/1000</f>
        <v>80671.422539999985</v>
      </c>
    </row>
    <row r="535" spans="2:5">
      <c r="B535" s="886" t="s">
        <v>1338</v>
      </c>
      <c r="C535" s="886" t="s">
        <v>398</v>
      </c>
      <c r="D535" s="887">
        <v>164049.79999999999</v>
      </c>
      <c r="E535" s="887">
        <f>+'[4]IS GOBI 3b'!$AX$63/1000</f>
        <v>226553.63081999999</v>
      </c>
    </row>
    <row r="536" spans="2:5">
      <c r="B536" s="886" t="s">
        <v>1321</v>
      </c>
      <c r="C536" s="886" t="s">
        <v>1339</v>
      </c>
      <c r="D536" s="887">
        <v>77246.899999999994</v>
      </c>
      <c r="E536" s="887">
        <f>+'[4]IS GOBI 3b'!$AX$64/1000</f>
        <v>66737.528279999999</v>
      </c>
    </row>
    <row r="537" spans="2:5">
      <c r="B537" s="886" t="s">
        <v>1340</v>
      </c>
      <c r="C537" s="886" t="s">
        <v>1341</v>
      </c>
      <c r="D537" s="887">
        <v>0</v>
      </c>
      <c r="E537" s="887">
        <v>0</v>
      </c>
    </row>
    <row r="538" spans="2:5">
      <c r="B538" s="886" t="s">
        <v>1342</v>
      </c>
      <c r="C538" s="886" t="s">
        <v>401</v>
      </c>
      <c r="D538" s="887">
        <v>306562.5</v>
      </c>
      <c r="E538" s="887">
        <f>+'[4]IS GOBI 3b'!$AX$65/1000</f>
        <v>327938.11189999996</v>
      </c>
    </row>
    <row r="539" spans="2:5">
      <c r="B539" s="886" t="s">
        <v>1343</v>
      </c>
      <c r="C539" s="886" t="s">
        <v>402</v>
      </c>
      <c r="D539" s="887">
        <v>66126.7</v>
      </c>
      <c r="E539" s="887">
        <f>+'[4]IS GOBI 3b'!$AX$66/1000</f>
        <v>91681.104250000004</v>
      </c>
    </row>
    <row r="540" spans="2:5">
      <c r="B540" s="886" t="s">
        <v>1344</v>
      </c>
      <c r="C540" s="886" t="s">
        <v>403</v>
      </c>
      <c r="D540" s="887">
        <v>178363.9</v>
      </c>
      <c r="E540" s="887">
        <f>+'[4]IS GOBI 3b'!$AX$67/1000</f>
        <v>143597.85219000003</v>
      </c>
    </row>
    <row r="541" spans="2:5">
      <c r="B541" s="886" t="s">
        <v>1345</v>
      </c>
      <c r="C541" s="886" t="s">
        <v>404</v>
      </c>
      <c r="D541" s="887">
        <v>1056278.5</v>
      </c>
      <c r="E541" s="887">
        <f>+'[4]IS GOBI 3b'!$AX$68/1000</f>
        <v>2367261.1802500002</v>
      </c>
    </row>
    <row r="542" spans="2:5">
      <c r="B542" s="886" t="s">
        <v>1346</v>
      </c>
      <c r="C542" s="886" t="s">
        <v>405</v>
      </c>
      <c r="D542" s="887">
        <v>0</v>
      </c>
      <c r="E542" s="887">
        <f>+'[4]IS GOBI 3b'!$AX$69</f>
        <v>0</v>
      </c>
    </row>
    <row r="543" spans="2:5">
      <c r="B543" s="886" t="s">
        <v>1347</v>
      </c>
      <c r="C543" s="886" t="s">
        <v>1348</v>
      </c>
      <c r="D543" s="887">
        <v>472843.5</v>
      </c>
      <c r="E543" s="887">
        <f>+'[4]IS GOBI 3b'!$AX$70/1000</f>
        <v>577745.83381999994</v>
      </c>
    </row>
    <row r="544" spans="2:5">
      <c r="B544" s="886" t="s">
        <v>1349</v>
      </c>
      <c r="C544" s="886" t="s">
        <v>407</v>
      </c>
      <c r="D544" s="887">
        <v>0</v>
      </c>
      <c r="E544" s="887"/>
    </row>
    <row r="545" spans="1:120">
      <c r="B545" s="886" t="s">
        <v>1350</v>
      </c>
      <c r="C545" s="886" t="s">
        <v>408</v>
      </c>
      <c r="D545" s="887">
        <v>0</v>
      </c>
      <c r="E545" s="887"/>
    </row>
    <row r="546" spans="1:120">
      <c r="B546" s="886" t="s">
        <v>1351</v>
      </c>
      <c r="C546" s="886" t="s">
        <v>409</v>
      </c>
      <c r="D546" s="887">
        <v>131796.6</v>
      </c>
      <c r="E546" s="887">
        <f>+'[4]IS GOBI 3b'!$AX$72/1000</f>
        <v>87794.417490000007</v>
      </c>
    </row>
    <row r="547" spans="1:120">
      <c r="B547" s="886" t="s">
        <v>1352</v>
      </c>
      <c r="C547" s="886" t="s">
        <v>410</v>
      </c>
      <c r="D547" s="887">
        <v>6877.3</v>
      </c>
      <c r="E547" s="887">
        <f>+'[4]IS GOBI 3b'!$AX$77/1000</f>
        <v>4581.4962100000002</v>
      </c>
    </row>
    <row r="548" spans="1:120">
      <c r="B548" s="886" t="s">
        <v>1353</v>
      </c>
      <c r="C548" s="886" t="s">
        <v>411</v>
      </c>
      <c r="D548" s="887">
        <v>0</v>
      </c>
      <c r="E548" s="887">
        <f>+'[4]IS GOBI 3b'!$AX$73</f>
        <v>0</v>
      </c>
    </row>
    <row r="549" spans="1:120">
      <c r="B549" s="886" t="s">
        <v>1354</v>
      </c>
      <c r="C549" s="886"/>
      <c r="D549" s="887">
        <v>1176546.6000000001</v>
      </c>
      <c r="E549" s="887">
        <f>+'[4]IS GOBI 3b'!$AX$74/1000+'[4]IS GOBI 3b'!$AX$75/1000+'[4]IS GOBI 3b'!$AX$78/1000</f>
        <v>1977599.4177300003</v>
      </c>
    </row>
    <row r="550" spans="1:120">
      <c r="B550" s="886" t="s">
        <v>1201</v>
      </c>
      <c r="C550" s="888" t="s">
        <v>82</v>
      </c>
      <c r="D550" s="887">
        <v>8822308.8000000007</v>
      </c>
      <c r="E550" s="887">
        <f>SUM(E529:E549)</f>
        <v>12109482.327554664</v>
      </c>
      <c r="F550" s="889">
        <f>+'[4]IS GOBI 3b'!$AX$54/1000</f>
        <v>12109482.327554666</v>
      </c>
      <c r="G550" s="889">
        <f>+E550-F550</f>
        <v>0</v>
      </c>
    </row>
    <row r="551" spans="1:120">
      <c r="A551" t="s">
        <v>1201</v>
      </c>
      <c r="B551" t="s">
        <v>1201</v>
      </c>
      <c r="C551" t="s">
        <v>1201</v>
      </c>
      <c r="D551" t="s">
        <v>1201</v>
      </c>
      <c r="F551" s="894"/>
      <c r="BP551" s="983"/>
      <c r="BQ551" s="983"/>
      <c r="BR551" s="983"/>
      <c r="BS551" s="983"/>
      <c r="BT551" s="983"/>
      <c r="BU551" s="983"/>
      <c r="BV551" s="983"/>
      <c r="BW551" s="983"/>
      <c r="BX551" s="983"/>
      <c r="BY551" s="983"/>
      <c r="BZ551" s="983"/>
      <c r="CA551" s="983"/>
      <c r="CB551" s="983"/>
      <c r="CC551" s="983"/>
      <c r="CD551" s="983"/>
      <c r="CE551" s="983"/>
      <c r="CF551" s="983"/>
      <c r="CG551" s="983"/>
      <c r="CH551" s="983"/>
      <c r="CI551" s="983"/>
      <c r="CJ551" s="983"/>
      <c r="CK551" s="983"/>
      <c r="CL551" s="983"/>
      <c r="CM551" s="983"/>
      <c r="CN551" s="983"/>
      <c r="CO551" s="983"/>
      <c r="CP551" s="983"/>
      <c r="CQ551" s="983"/>
      <c r="CR551" s="983"/>
      <c r="CS551" s="983"/>
      <c r="CT551" s="983"/>
      <c r="CU551" s="983"/>
      <c r="CV551" s="983"/>
      <c r="CW551" s="983"/>
      <c r="CX551" s="983"/>
      <c r="CY551" s="983"/>
      <c r="CZ551" s="983"/>
      <c r="DA551" s="983"/>
      <c r="DB551" s="983"/>
      <c r="DC551" s="983"/>
      <c r="DD551" s="983"/>
      <c r="DE551" s="983"/>
      <c r="DF551" s="983"/>
      <c r="DG551" s="983"/>
      <c r="DH551" s="983"/>
      <c r="DI551" s="983"/>
      <c r="DJ551" s="983"/>
      <c r="DK551" s="983"/>
      <c r="DL551" s="983"/>
      <c r="DM551" s="983"/>
      <c r="DN551" s="983"/>
      <c r="DO551" s="983"/>
      <c r="DP551" s="983"/>
    </row>
    <row r="552" spans="1:120" ht="39.6">
      <c r="E552" s="884" t="s">
        <v>1411</v>
      </c>
      <c r="F552" s="895"/>
    </row>
    <row r="553" spans="1:120" ht="39.6">
      <c r="E553" s="884" t="s">
        <v>1412</v>
      </c>
    </row>
  </sheetData>
  <mergeCells count="35">
    <mergeCell ref="BP458:DP458"/>
    <mergeCell ref="BP473:DP473"/>
    <mergeCell ref="BP486:DP486"/>
    <mergeCell ref="BP522:DP522"/>
    <mergeCell ref="BP551:DP551"/>
    <mergeCell ref="BP448:DP448"/>
    <mergeCell ref="BP288:DP288"/>
    <mergeCell ref="BP299:DP299"/>
    <mergeCell ref="BP315:DP315"/>
    <mergeCell ref="BP326:DP326"/>
    <mergeCell ref="BP347:DP347"/>
    <mergeCell ref="BP359:DP359"/>
    <mergeCell ref="BP371:DP371"/>
    <mergeCell ref="BP384:DP384"/>
    <mergeCell ref="BP413:DP413"/>
    <mergeCell ref="BP425:DP425"/>
    <mergeCell ref="BP436:DP436"/>
    <mergeCell ref="BP272:DP272"/>
    <mergeCell ref="BP93:DP93"/>
    <mergeCell ref="BP131:DP131"/>
    <mergeCell ref="BP145:DP145"/>
    <mergeCell ref="BP180:DP180"/>
    <mergeCell ref="BP191:DP191"/>
    <mergeCell ref="BP200:DP200"/>
    <mergeCell ref="BP211:DP211"/>
    <mergeCell ref="BP222:DP222"/>
    <mergeCell ref="BP237:DP237"/>
    <mergeCell ref="BP248:DP248"/>
    <mergeCell ref="BP261:DP261"/>
    <mergeCell ref="BP81:DP81"/>
    <mergeCell ref="BP12:DP12"/>
    <mergeCell ref="BP25:DP25"/>
    <mergeCell ref="BP37:DP37"/>
    <mergeCell ref="BP54:DP54"/>
    <mergeCell ref="BP63:DP63"/>
  </mergeCells>
  <pageMargins left="0.75" right="0.75" top="1" bottom="1" header="0.5" footer="0.5"/>
  <pageSetup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39997558519241921"/>
    <pageSetUpPr fitToPage="1"/>
  </sheetPr>
  <dimension ref="A1:DP437"/>
  <sheetViews>
    <sheetView topLeftCell="A69" zoomScale="80" zoomScaleNormal="80" workbookViewId="0">
      <selection activeCell="E20" sqref="E20"/>
    </sheetView>
  </sheetViews>
  <sheetFormatPr defaultColWidth="9.109375" defaultRowHeight="13.2"/>
  <cols>
    <col min="1" max="1" width="6.109375" style="822" customWidth="1"/>
    <col min="2" max="2" width="12.6640625" style="30" customWidth="1"/>
    <col min="3" max="3" width="37.6640625" style="213" customWidth="1"/>
    <col min="4" max="5" width="22.33203125" style="214" customWidth="1"/>
    <col min="6" max="6" width="19.33203125" style="214" customWidth="1"/>
    <col min="7" max="7" width="17.33203125" style="214" bestFit="1" customWidth="1"/>
    <col min="8" max="8" width="18" style="214" bestFit="1" customWidth="1"/>
    <col min="9" max="9" width="17.33203125" style="214" bestFit="1" customWidth="1"/>
    <col min="10" max="10" width="18" style="214" customWidth="1"/>
    <col min="11" max="11" width="14.44140625" style="213" customWidth="1"/>
    <col min="12" max="12" width="18.44140625" style="214" bestFit="1" customWidth="1"/>
    <col min="13" max="13" width="16.44140625" style="213" bestFit="1" customWidth="1"/>
    <col min="14" max="14" width="17.33203125" style="213" bestFit="1" customWidth="1"/>
    <col min="15" max="15" width="17" style="213" bestFit="1" customWidth="1"/>
    <col min="16" max="17" width="12.6640625" style="213" bestFit="1" customWidth="1"/>
    <col min="18" max="18" width="9.21875" style="213" bestFit="1" customWidth="1"/>
    <col min="19" max="19" width="14.77734375" style="213" bestFit="1" customWidth="1"/>
    <col min="20" max="16384" width="9.109375" style="213"/>
  </cols>
  <sheetData>
    <row r="1" spans="1:120">
      <c r="A1" s="820"/>
      <c r="B1" s="820" t="s">
        <v>1199</v>
      </c>
      <c r="C1" s="808"/>
      <c r="K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808"/>
      <c r="AN1" s="808"/>
      <c r="AO1" s="808"/>
      <c r="AP1" s="808"/>
      <c r="AQ1" s="808"/>
      <c r="AR1" s="808"/>
      <c r="AS1" s="808"/>
      <c r="AT1" s="808"/>
      <c r="AU1" s="808"/>
      <c r="AV1" s="808"/>
      <c r="AW1" s="808"/>
      <c r="AX1" s="808"/>
      <c r="AY1" s="808"/>
      <c r="AZ1" s="808"/>
      <c r="BA1" s="808"/>
      <c r="BB1" s="808"/>
      <c r="BC1" s="808"/>
      <c r="BD1" s="808"/>
      <c r="BE1" s="808"/>
      <c r="BF1" s="808"/>
      <c r="BG1" s="808"/>
      <c r="BH1" s="808"/>
      <c r="BI1" s="808"/>
      <c r="BJ1" s="808"/>
      <c r="BK1" s="808"/>
      <c r="BL1" s="808"/>
      <c r="BM1" s="808"/>
      <c r="BN1" s="808"/>
      <c r="BO1" s="808"/>
      <c r="BP1" s="808"/>
      <c r="BQ1" s="808"/>
      <c r="BR1" s="808"/>
      <c r="BS1" s="808"/>
      <c r="BT1" s="808"/>
      <c r="BU1" s="808"/>
      <c r="BV1" s="808"/>
      <c r="BW1" s="808"/>
      <c r="BX1" s="808"/>
      <c r="BY1" s="808"/>
      <c r="BZ1" s="808"/>
      <c r="CA1" s="808"/>
      <c r="CB1" s="808"/>
      <c r="CC1" s="808"/>
      <c r="CD1" s="808"/>
      <c r="CE1" s="808"/>
      <c r="CF1" s="808"/>
      <c r="CG1" s="808"/>
      <c r="CH1" s="808"/>
      <c r="CI1" s="808"/>
      <c r="CJ1" s="808"/>
      <c r="CK1" s="808"/>
      <c r="CL1" s="808"/>
      <c r="CM1" s="808"/>
      <c r="CN1" s="808"/>
      <c r="CO1" s="808"/>
      <c r="CP1" s="808"/>
      <c r="CQ1" s="808"/>
      <c r="CR1" s="808"/>
      <c r="CS1" s="808"/>
      <c r="CT1" s="808"/>
      <c r="CU1" s="808"/>
      <c r="CV1" s="808"/>
      <c r="CW1" s="808"/>
      <c r="CX1" s="808"/>
      <c r="CY1" s="808"/>
      <c r="CZ1" s="808"/>
      <c r="DA1" s="808"/>
      <c r="DB1" s="808"/>
      <c r="DC1" s="808"/>
      <c r="DD1" s="808"/>
      <c r="DE1" s="808"/>
      <c r="DF1" s="808"/>
      <c r="DG1" s="808"/>
      <c r="DH1" s="808"/>
      <c r="DI1" s="808"/>
      <c r="DJ1" s="808"/>
      <c r="DK1" s="808"/>
      <c r="DL1" s="808"/>
      <c r="DM1" s="808"/>
      <c r="DN1" s="808"/>
      <c r="DO1" s="808"/>
      <c r="DP1" s="808"/>
    </row>
    <row r="2" spans="1:120">
      <c r="A2" s="820"/>
      <c r="B2" s="820" t="s">
        <v>1200</v>
      </c>
      <c r="C2" s="808"/>
      <c r="K2" s="808"/>
      <c r="M2" s="808"/>
      <c r="N2" s="808"/>
      <c r="O2" s="808"/>
      <c r="P2" s="808"/>
      <c r="Q2" s="808"/>
      <c r="R2" s="808"/>
      <c r="S2" s="808"/>
      <c r="T2" s="808"/>
      <c r="U2" s="808"/>
      <c r="V2" s="808"/>
      <c r="W2" s="808"/>
      <c r="X2" s="808"/>
      <c r="Y2" s="808"/>
      <c r="Z2" s="808"/>
      <c r="AA2" s="808"/>
      <c r="AB2" s="808"/>
      <c r="AC2" s="808"/>
      <c r="AD2" s="808"/>
      <c r="AE2" s="808"/>
      <c r="AF2" s="808"/>
      <c r="AG2" s="808"/>
      <c r="AH2" s="808"/>
      <c r="AI2" s="808"/>
      <c r="AJ2" s="808"/>
      <c r="AK2" s="808"/>
      <c r="AL2" s="808"/>
      <c r="AM2" s="808"/>
      <c r="AN2" s="808"/>
      <c r="AO2" s="808"/>
      <c r="AP2" s="808"/>
      <c r="AQ2" s="808"/>
      <c r="AR2" s="808"/>
      <c r="AS2" s="808"/>
      <c r="AT2" s="808"/>
      <c r="AU2" s="808"/>
      <c r="AV2" s="808"/>
      <c r="AW2" s="808"/>
      <c r="AX2" s="808"/>
      <c r="AY2" s="808"/>
      <c r="AZ2" s="808"/>
      <c r="BA2" s="808"/>
      <c r="BB2" s="808"/>
      <c r="BC2" s="808"/>
      <c r="BD2" s="808"/>
      <c r="BE2" s="808"/>
      <c r="BF2" s="808"/>
      <c r="BG2" s="808"/>
      <c r="BH2" s="808"/>
      <c r="BI2" s="808"/>
      <c r="BJ2" s="808"/>
      <c r="BK2" s="808"/>
      <c r="BL2" s="808"/>
      <c r="BM2" s="808"/>
      <c r="BN2" s="808"/>
      <c r="BO2" s="808"/>
      <c r="BP2" s="808"/>
      <c r="BQ2" s="808"/>
      <c r="BR2" s="808"/>
      <c r="BS2" s="808"/>
      <c r="BT2" s="808"/>
      <c r="BU2" s="808"/>
      <c r="BV2" s="808"/>
      <c r="BW2" s="808"/>
      <c r="BX2" s="808"/>
      <c r="BY2" s="808"/>
      <c r="BZ2" s="808"/>
      <c r="CA2" s="808"/>
      <c r="CB2" s="808"/>
      <c r="CC2" s="808"/>
      <c r="CD2" s="808"/>
      <c r="CE2" s="808"/>
      <c r="CF2" s="808"/>
      <c r="CG2" s="808"/>
      <c r="CH2" s="808"/>
      <c r="CI2" s="808"/>
      <c r="CJ2" s="808"/>
      <c r="CK2" s="808"/>
      <c r="CL2" s="808"/>
      <c r="CM2" s="808"/>
      <c r="CN2" s="808"/>
      <c r="CO2" s="808"/>
      <c r="CP2" s="808"/>
      <c r="CQ2" s="808"/>
      <c r="CR2" s="808"/>
      <c r="CS2" s="808"/>
      <c r="CT2" s="808"/>
      <c r="CU2" s="808"/>
      <c r="CV2" s="808"/>
      <c r="CW2" s="808"/>
      <c r="CX2" s="808"/>
      <c r="CY2" s="808"/>
      <c r="CZ2" s="808"/>
      <c r="DA2" s="808"/>
      <c r="DB2" s="808"/>
      <c r="DC2" s="808"/>
      <c r="DD2" s="808"/>
      <c r="DE2" s="808"/>
      <c r="DF2" s="808"/>
      <c r="DG2" s="808"/>
      <c r="DH2" s="808"/>
      <c r="DI2" s="808"/>
      <c r="DJ2" s="808"/>
      <c r="DK2" s="808"/>
      <c r="DL2" s="808"/>
      <c r="DM2" s="808"/>
      <c r="DN2" s="808"/>
      <c r="DO2" s="808"/>
      <c r="DP2" s="808"/>
    </row>
    <row r="3" spans="1:120">
      <c r="A3" s="821"/>
      <c r="B3" s="809" t="s">
        <v>1202</v>
      </c>
      <c r="C3" s="808"/>
      <c r="K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c r="AS3" s="808"/>
      <c r="AT3" s="808"/>
      <c r="AU3" s="808"/>
      <c r="AV3" s="808"/>
      <c r="AW3" s="808"/>
      <c r="AX3" s="808"/>
      <c r="AY3" s="808"/>
      <c r="AZ3" s="808"/>
      <c r="BA3" s="808"/>
      <c r="BB3" s="808"/>
      <c r="BC3" s="808"/>
      <c r="BD3" s="808"/>
      <c r="BE3" s="808"/>
      <c r="BF3" s="808"/>
      <c r="BG3" s="808"/>
      <c r="BH3" s="808"/>
      <c r="BI3" s="808"/>
      <c r="BJ3" s="808"/>
      <c r="BK3" s="808"/>
      <c r="BL3" s="808"/>
      <c r="BM3" s="808"/>
      <c r="BN3" s="808"/>
      <c r="BO3" s="808"/>
      <c r="BP3" s="808"/>
      <c r="BQ3" s="808"/>
      <c r="BR3" s="808"/>
      <c r="BS3" s="808"/>
      <c r="BT3" s="808"/>
      <c r="BU3" s="808"/>
      <c r="BV3" s="808"/>
      <c r="BW3" s="808"/>
      <c r="BX3" s="808"/>
      <c r="BY3" s="808"/>
      <c r="BZ3" s="808"/>
      <c r="CA3" s="808"/>
      <c r="CB3" s="808"/>
      <c r="CC3" s="808"/>
      <c r="CD3" s="808"/>
      <c r="CE3" s="808"/>
      <c r="CF3" s="808"/>
      <c r="CG3" s="808"/>
      <c r="CH3" s="808"/>
      <c r="CI3" s="808"/>
      <c r="CJ3" s="808"/>
      <c r="CK3" s="808"/>
      <c r="CL3" s="808"/>
      <c r="CM3" s="808"/>
      <c r="CN3" s="808"/>
      <c r="CO3" s="808"/>
      <c r="CP3" s="808"/>
      <c r="CQ3" s="808"/>
      <c r="CR3" s="808"/>
      <c r="CS3" s="808"/>
      <c r="CT3" s="808"/>
      <c r="CU3" s="808"/>
      <c r="CV3" s="808"/>
      <c r="CW3" s="808"/>
      <c r="CX3" s="808"/>
      <c r="CY3" s="808"/>
      <c r="CZ3" s="808"/>
      <c r="DA3" s="808"/>
      <c r="DB3" s="808"/>
      <c r="DC3" s="808"/>
      <c r="DD3" s="808"/>
      <c r="DE3" s="808"/>
      <c r="DF3" s="808"/>
      <c r="DG3" s="808"/>
      <c r="DH3" s="808"/>
      <c r="DI3" s="808"/>
      <c r="DJ3" s="808"/>
      <c r="DK3" s="808"/>
      <c r="DL3" s="808"/>
      <c r="DM3" s="808"/>
      <c r="DN3" s="808"/>
      <c r="DO3" s="808"/>
      <c r="DP3" s="808"/>
    </row>
    <row r="4" spans="1:120">
      <c r="A4" s="821"/>
      <c r="B4" s="807"/>
      <c r="C4" s="808"/>
      <c r="E4" s="810" t="s">
        <v>1203</v>
      </c>
      <c r="K4" s="808"/>
      <c r="M4" s="808"/>
      <c r="N4" s="808"/>
      <c r="O4" s="808"/>
      <c r="P4" s="808"/>
      <c r="Q4" s="808"/>
      <c r="R4" s="808"/>
      <c r="S4" s="808"/>
      <c r="T4" s="808"/>
      <c r="U4" s="808"/>
      <c r="V4" s="808"/>
      <c r="W4" s="808"/>
      <c r="X4" s="808"/>
      <c r="Y4" s="808"/>
      <c r="Z4" s="808"/>
      <c r="AA4" s="808"/>
      <c r="AB4" s="808"/>
      <c r="AC4" s="808"/>
      <c r="AD4" s="808"/>
      <c r="AE4" s="808"/>
      <c r="AF4" s="808"/>
      <c r="AG4" s="808"/>
      <c r="AH4" s="808"/>
      <c r="AI4" s="808"/>
      <c r="AJ4" s="808"/>
      <c r="AK4" s="808"/>
      <c r="AL4" s="808"/>
      <c r="AM4" s="808"/>
      <c r="AN4" s="808"/>
      <c r="AO4" s="808"/>
      <c r="AP4" s="808"/>
      <c r="AQ4" s="808"/>
      <c r="AR4" s="808"/>
      <c r="AS4" s="808"/>
      <c r="AT4" s="808"/>
      <c r="AU4" s="808"/>
      <c r="AV4" s="808"/>
      <c r="AW4" s="808"/>
      <c r="AX4" s="808"/>
      <c r="AY4" s="808"/>
      <c r="AZ4" s="808"/>
      <c r="BA4" s="808"/>
      <c r="BB4" s="808"/>
      <c r="BC4" s="808"/>
      <c r="BD4" s="808"/>
      <c r="BE4" s="808"/>
      <c r="BF4" s="808"/>
      <c r="BG4" s="808"/>
      <c r="BH4" s="808"/>
      <c r="BI4" s="808"/>
      <c r="BJ4" s="808"/>
      <c r="BK4" s="808"/>
      <c r="BL4" s="808"/>
      <c r="BM4" s="808"/>
      <c r="BN4" s="808"/>
      <c r="BO4" s="808"/>
      <c r="BP4" s="808"/>
      <c r="BQ4" s="808"/>
      <c r="BR4" s="808"/>
      <c r="BS4" s="808"/>
      <c r="BT4" s="808"/>
      <c r="BU4" s="808"/>
      <c r="BV4" s="808"/>
      <c r="BW4" s="808"/>
      <c r="BX4" s="808"/>
      <c r="BY4" s="808"/>
      <c r="BZ4" s="808"/>
      <c r="CA4" s="808"/>
      <c r="CB4" s="808"/>
      <c r="CC4" s="808"/>
      <c r="CD4" s="808"/>
      <c r="CE4" s="808"/>
      <c r="CF4" s="808"/>
      <c r="CG4" s="808"/>
      <c r="CH4" s="808"/>
      <c r="CI4" s="808"/>
      <c r="CJ4" s="808"/>
      <c r="CK4" s="808"/>
      <c r="CL4" s="808"/>
      <c r="CM4" s="808"/>
      <c r="CN4" s="808"/>
      <c r="CO4" s="808"/>
      <c r="CP4" s="808"/>
      <c r="CQ4" s="808"/>
      <c r="CR4" s="808"/>
      <c r="CS4" s="808"/>
      <c r="CT4" s="808"/>
      <c r="CU4" s="808"/>
      <c r="CV4" s="808"/>
      <c r="CW4" s="808"/>
      <c r="CX4" s="808"/>
      <c r="CY4" s="808"/>
      <c r="CZ4" s="808"/>
      <c r="DA4" s="808"/>
      <c r="DB4" s="808"/>
      <c r="DC4" s="808"/>
      <c r="DD4" s="808"/>
      <c r="DE4" s="808"/>
      <c r="DF4" s="808"/>
      <c r="DG4" s="808"/>
      <c r="DH4" s="808"/>
      <c r="DI4" s="808"/>
      <c r="DJ4" s="808"/>
      <c r="DK4" s="808"/>
      <c r="DL4" s="808"/>
      <c r="DM4" s="808"/>
      <c r="DN4" s="808"/>
      <c r="DO4" s="808"/>
      <c r="DP4" s="808"/>
    </row>
    <row r="5" spans="1:120">
      <c r="A5" s="821"/>
      <c r="B5" s="811" t="s">
        <v>79</v>
      </c>
      <c r="C5" s="811" t="s">
        <v>5</v>
      </c>
      <c r="D5" s="812" t="s">
        <v>194</v>
      </c>
      <c r="E5" s="812" t="s">
        <v>195</v>
      </c>
      <c r="K5" s="808"/>
      <c r="M5" s="808"/>
      <c r="N5" s="808"/>
      <c r="O5" s="808"/>
      <c r="P5" s="808"/>
      <c r="Q5" s="808"/>
      <c r="R5" s="808"/>
      <c r="S5" s="808"/>
      <c r="T5" s="808"/>
      <c r="U5" s="808"/>
      <c r="V5" s="808"/>
      <c r="W5" s="808"/>
      <c r="X5" s="808"/>
      <c r="Y5" s="808"/>
      <c r="Z5" s="808"/>
      <c r="AA5" s="808"/>
      <c r="AB5" s="808"/>
      <c r="AC5" s="808"/>
      <c r="AD5" s="808"/>
      <c r="AE5" s="808"/>
      <c r="AF5" s="808"/>
      <c r="AG5" s="808"/>
      <c r="AH5" s="808"/>
      <c r="AI5" s="808"/>
      <c r="AJ5" s="808"/>
      <c r="AK5" s="808"/>
      <c r="AL5" s="808"/>
      <c r="AM5" s="808"/>
      <c r="AN5" s="808"/>
      <c r="AO5" s="808"/>
      <c r="AP5" s="808"/>
      <c r="AQ5" s="808"/>
      <c r="AR5" s="808"/>
      <c r="AS5" s="808"/>
      <c r="AT5" s="808"/>
      <c r="AU5" s="808"/>
      <c r="AV5" s="808"/>
      <c r="AW5" s="808"/>
      <c r="AX5" s="808"/>
      <c r="AY5" s="808"/>
      <c r="AZ5" s="808"/>
      <c r="BA5" s="808"/>
      <c r="BB5" s="808"/>
      <c r="BC5" s="808"/>
      <c r="BD5" s="808"/>
      <c r="BE5" s="808"/>
      <c r="BF5" s="808"/>
      <c r="BG5" s="808"/>
      <c r="BH5" s="808"/>
      <c r="BI5" s="808"/>
      <c r="BJ5" s="808"/>
      <c r="BK5" s="808"/>
      <c r="BL5" s="808"/>
      <c r="BM5" s="808"/>
      <c r="BN5" s="808"/>
      <c r="BO5" s="808"/>
      <c r="BP5" s="808"/>
      <c r="BQ5" s="808"/>
      <c r="BR5" s="808"/>
      <c r="BS5" s="808"/>
      <c r="BT5" s="808"/>
      <c r="BU5" s="808"/>
      <c r="BV5" s="808"/>
      <c r="BW5" s="808"/>
      <c r="BX5" s="808"/>
      <c r="BY5" s="808"/>
      <c r="BZ5" s="808"/>
      <c r="CA5" s="808"/>
      <c r="CB5" s="808"/>
      <c r="CC5" s="808"/>
      <c r="CD5" s="808"/>
      <c r="CE5" s="808"/>
      <c r="CF5" s="808"/>
      <c r="CG5" s="808"/>
      <c r="CH5" s="808"/>
      <c r="CI5" s="808"/>
      <c r="CJ5" s="808"/>
      <c r="CK5" s="808"/>
      <c r="CL5" s="808"/>
      <c r="CM5" s="808"/>
      <c r="CN5" s="808"/>
      <c r="CO5" s="808"/>
      <c r="CP5" s="808"/>
      <c r="CQ5" s="808"/>
      <c r="CR5" s="808"/>
      <c r="CS5" s="808"/>
      <c r="CT5" s="808"/>
      <c r="CU5" s="808"/>
      <c r="CV5" s="808"/>
      <c r="CW5" s="808"/>
      <c r="CX5" s="808"/>
      <c r="CY5" s="808"/>
      <c r="CZ5" s="808"/>
      <c r="DA5" s="808"/>
      <c r="DB5" s="808"/>
      <c r="DC5" s="808"/>
      <c r="DD5" s="808"/>
      <c r="DE5" s="808"/>
      <c r="DF5" s="808"/>
      <c r="DG5" s="808"/>
      <c r="DH5" s="808"/>
      <c r="DI5" s="808"/>
      <c r="DJ5" s="808"/>
      <c r="DK5" s="808"/>
      <c r="DL5" s="808"/>
      <c r="DM5" s="808"/>
      <c r="DN5" s="808"/>
      <c r="DO5" s="808"/>
      <c r="DP5" s="808"/>
    </row>
    <row r="6" spans="1:120">
      <c r="A6" s="821"/>
      <c r="B6" s="813" t="s">
        <v>947</v>
      </c>
      <c r="C6" s="814" t="s">
        <v>196</v>
      </c>
      <c r="D6" s="815">
        <v>276983.7</v>
      </c>
      <c r="E6" s="815">
        <v>356745.6</v>
      </c>
      <c r="K6" s="808"/>
      <c r="M6" s="808"/>
      <c r="N6" s="808"/>
      <c r="O6" s="808"/>
      <c r="P6" s="808"/>
      <c r="Q6" s="808"/>
      <c r="R6" s="808"/>
      <c r="S6" s="808"/>
      <c r="T6" s="808"/>
      <c r="U6" s="808"/>
      <c r="V6" s="808"/>
      <c r="W6" s="808"/>
      <c r="X6" s="808"/>
      <c r="Y6" s="808"/>
      <c r="Z6" s="808"/>
      <c r="AA6" s="808"/>
      <c r="AB6" s="808"/>
      <c r="AC6" s="808"/>
      <c r="AD6" s="808"/>
      <c r="AE6" s="808"/>
      <c r="AF6" s="808"/>
      <c r="AG6" s="808"/>
      <c r="AH6" s="808"/>
      <c r="AI6" s="808"/>
      <c r="AJ6" s="808"/>
      <c r="AK6" s="808"/>
      <c r="AL6" s="808"/>
      <c r="AM6" s="808"/>
      <c r="AN6" s="808"/>
      <c r="AO6" s="808"/>
      <c r="AP6" s="808"/>
      <c r="AQ6" s="808"/>
      <c r="AR6" s="808"/>
      <c r="AS6" s="808"/>
      <c r="AT6" s="808"/>
      <c r="AU6" s="808"/>
      <c r="AV6" s="808"/>
      <c r="AW6" s="808"/>
      <c r="AX6" s="808"/>
      <c r="AY6" s="808"/>
      <c r="AZ6" s="808"/>
      <c r="BA6" s="808"/>
      <c r="BB6" s="808"/>
      <c r="BC6" s="808"/>
      <c r="BD6" s="808"/>
      <c r="BE6" s="808"/>
      <c r="BF6" s="808"/>
      <c r="BG6" s="808"/>
      <c r="BH6" s="808"/>
      <c r="BI6" s="808"/>
      <c r="BJ6" s="808"/>
      <c r="BK6" s="808"/>
      <c r="BL6" s="808"/>
      <c r="BM6" s="808"/>
      <c r="BN6" s="808"/>
      <c r="BO6" s="808"/>
      <c r="BP6" s="808"/>
      <c r="BQ6" s="808"/>
      <c r="BR6" s="808"/>
      <c r="BS6" s="808"/>
      <c r="BT6" s="808"/>
      <c r="BU6" s="808"/>
      <c r="BV6" s="808"/>
      <c r="BW6" s="808"/>
      <c r="BX6" s="808"/>
      <c r="BY6" s="808"/>
      <c r="BZ6" s="808"/>
      <c r="CA6" s="808"/>
      <c r="CB6" s="808"/>
      <c r="CC6" s="808"/>
      <c r="CD6" s="808"/>
      <c r="CE6" s="808"/>
      <c r="CF6" s="808"/>
      <c r="CG6" s="808"/>
      <c r="CH6" s="808"/>
      <c r="CI6" s="808"/>
      <c r="CJ6" s="808"/>
      <c r="CK6" s="808"/>
      <c r="CL6" s="808"/>
      <c r="CM6" s="808"/>
      <c r="CN6" s="808"/>
      <c r="CO6" s="808"/>
      <c r="CP6" s="808"/>
      <c r="CQ6" s="808"/>
      <c r="CR6" s="808"/>
      <c r="CS6" s="808"/>
      <c r="CT6" s="808"/>
      <c r="CU6" s="808"/>
      <c r="CV6" s="808"/>
      <c r="CW6" s="808"/>
      <c r="CX6" s="808"/>
      <c r="CY6" s="808"/>
      <c r="CZ6" s="808"/>
      <c r="DA6" s="808"/>
      <c r="DB6" s="808"/>
      <c r="DC6" s="808"/>
      <c r="DD6" s="808"/>
      <c r="DE6" s="808"/>
      <c r="DF6" s="808"/>
      <c r="DG6" s="808"/>
      <c r="DH6" s="808"/>
      <c r="DI6" s="808"/>
      <c r="DJ6" s="808"/>
      <c r="DK6" s="808"/>
      <c r="DL6" s="808"/>
      <c r="DM6" s="808"/>
      <c r="DN6" s="808"/>
      <c r="DO6" s="808"/>
      <c r="DP6" s="808"/>
    </row>
    <row r="7" spans="1:120">
      <c r="A7" s="821"/>
      <c r="B7" s="813" t="s">
        <v>950</v>
      </c>
      <c r="C7" s="814" t="s">
        <v>197</v>
      </c>
      <c r="D7" s="815">
        <v>4904029.0999999996</v>
      </c>
      <c r="E7" s="851">
        <v>2664578.7799999998</v>
      </c>
      <c r="K7" s="808"/>
      <c r="M7" s="808"/>
      <c r="N7" s="808"/>
      <c r="O7" s="808"/>
      <c r="P7" s="808"/>
      <c r="Q7" s="808"/>
      <c r="R7" s="808"/>
      <c r="S7" s="808"/>
      <c r="T7" s="808"/>
      <c r="U7" s="808"/>
      <c r="V7" s="808"/>
      <c r="W7" s="808"/>
      <c r="X7" s="808"/>
      <c r="Y7" s="808"/>
      <c r="Z7" s="808"/>
      <c r="AA7" s="808"/>
      <c r="AB7" s="808"/>
      <c r="AC7" s="808"/>
      <c r="AD7" s="808"/>
      <c r="AE7" s="808"/>
      <c r="AF7" s="808"/>
      <c r="AG7" s="808"/>
      <c r="AH7" s="808"/>
      <c r="AI7" s="808"/>
      <c r="AJ7" s="808"/>
      <c r="AK7" s="808"/>
      <c r="AL7" s="808"/>
      <c r="AM7" s="808"/>
      <c r="AN7" s="808"/>
      <c r="AO7" s="808"/>
      <c r="AP7" s="808"/>
      <c r="AQ7" s="808"/>
      <c r="AR7" s="808"/>
      <c r="AS7" s="808"/>
      <c r="AT7" s="808"/>
      <c r="AU7" s="808"/>
      <c r="AV7" s="808"/>
      <c r="AW7" s="808"/>
      <c r="AX7" s="808"/>
      <c r="AY7" s="808"/>
      <c r="AZ7" s="808"/>
      <c r="BA7" s="808"/>
      <c r="BB7" s="808"/>
      <c r="BC7" s="808"/>
      <c r="BD7" s="808"/>
      <c r="BE7" s="808"/>
      <c r="BF7" s="808"/>
      <c r="BG7" s="808"/>
      <c r="BH7" s="808"/>
      <c r="BI7" s="808"/>
      <c r="BJ7" s="808"/>
      <c r="BK7" s="808"/>
      <c r="BL7" s="808"/>
      <c r="BM7" s="808"/>
      <c r="BN7" s="808"/>
      <c r="BO7" s="808"/>
      <c r="BP7" s="808"/>
      <c r="BQ7" s="808"/>
      <c r="BR7" s="808"/>
      <c r="BS7" s="808"/>
      <c r="BT7" s="808"/>
      <c r="BU7" s="808"/>
      <c r="BV7" s="808"/>
      <c r="BW7" s="808"/>
      <c r="BX7" s="808"/>
      <c r="BY7" s="808"/>
      <c r="BZ7" s="808"/>
      <c r="CA7" s="808"/>
      <c r="CB7" s="808"/>
      <c r="CC7" s="808"/>
      <c r="CD7" s="808"/>
      <c r="CE7" s="808"/>
      <c r="CF7" s="808"/>
      <c r="CG7" s="808"/>
      <c r="CH7" s="808"/>
      <c r="CI7" s="808"/>
      <c r="CJ7" s="808"/>
      <c r="CK7" s="808"/>
      <c r="CL7" s="808"/>
      <c r="CM7" s="808"/>
      <c r="CN7" s="808"/>
      <c r="CO7" s="808"/>
      <c r="CP7" s="808"/>
      <c r="CQ7" s="808"/>
      <c r="CR7" s="808"/>
      <c r="CS7" s="808"/>
      <c r="CT7" s="808"/>
      <c r="CU7" s="808"/>
      <c r="CV7" s="808"/>
      <c r="CW7" s="808"/>
      <c r="CX7" s="808"/>
      <c r="CY7" s="808"/>
      <c r="CZ7" s="808"/>
      <c r="DA7" s="808"/>
      <c r="DB7" s="808"/>
      <c r="DC7" s="808"/>
      <c r="DD7" s="808"/>
      <c r="DE7" s="808"/>
      <c r="DF7" s="808"/>
      <c r="DG7" s="808"/>
      <c r="DH7" s="808"/>
      <c r="DI7" s="808"/>
      <c r="DJ7" s="808"/>
      <c r="DK7" s="808"/>
      <c r="DL7" s="808"/>
      <c r="DM7" s="808"/>
      <c r="DN7" s="808"/>
      <c r="DO7" s="808"/>
      <c r="DP7" s="808"/>
    </row>
    <row r="8" spans="1:120">
      <c r="A8" s="821"/>
      <c r="B8" s="813" t="s">
        <v>961</v>
      </c>
      <c r="C8" s="814" t="s">
        <v>528</v>
      </c>
      <c r="D8" s="815">
        <v>401663.2</v>
      </c>
      <c r="E8" s="815">
        <v>1419092.4</v>
      </c>
      <c r="K8" s="808"/>
      <c r="M8" s="808"/>
      <c r="N8" s="808"/>
      <c r="O8" s="808"/>
      <c r="P8" s="808"/>
      <c r="Q8" s="808"/>
      <c r="R8" s="808"/>
      <c r="S8" s="808"/>
      <c r="T8" s="808"/>
      <c r="U8" s="808"/>
      <c r="V8" s="808"/>
      <c r="W8" s="808"/>
      <c r="X8" s="808"/>
      <c r="Y8" s="808"/>
      <c r="Z8" s="808"/>
      <c r="AA8" s="808"/>
      <c r="AB8" s="808"/>
      <c r="AC8" s="808"/>
      <c r="AD8" s="808"/>
      <c r="AE8" s="808"/>
      <c r="AF8" s="808"/>
      <c r="AG8" s="808"/>
      <c r="AH8" s="808"/>
      <c r="AI8" s="808"/>
      <c r="AJ8" s="808"/>
      <c r="AK8" s="808"/>
      <c r="AL8" s="808"/>
      <c r="AM8" s="808"/>
      <c r="AN8" s="808"/>
      <c r="AO8" s="808"/>
      <c r="AP8" s="808"/>
      <c r="AQ8" s="808"/>
      <c r="AR8" s="808"/>
      <c r="AS8" s="808"/>
      <c r="AT8" s="808"/>
      <c r="AU8" s="808"/>
      <c r="AV8" s="808"/>
      <c r="AW8" s="808"/>
      <c r="AX8" s="808"/>
      <c r="AY8" s="808"/>
      <c r="AZ8" s="808"/>
      <c r="BA8" s="808"/>
      <c r="BB8" s="808"/>
      <c r="BC8" s="808"/>
      <c r="BD8" s="808"/>
      <c r="BE8" s="808"/>
      <c r="BF8" s="808"/>
      <c r="BG8" s="808"/>
      <c r="BH8" s="808"/>
      <c r="BI8" s="808"/>
      <c r="BJ8" s="808"/>
      <c r="BK8" s="808"/>
      <c r="BL8" s="808"/>
      <c r="BM8" s="808"/>
      <c r="BN8" s="808"/>
      <c r="BO8" s="808"/>
      <c r="BP8" s="808"/>
      <c r="BQ8" s="808"/>
      <c r="BR8" s="808"/>
      <c r="BS8" s="808"/>
      <c r="BT8" s="808"/>
      <c r="BU8" s="808"/>
      <c r="BV8" s="808"/>
      <c r="BW8" s="808"/>
      <c r="BX8" s="808"/>
      <c r="BY8" s="808"/>
      <c r="BZ8" s="808"/>
      <c r="CA8" s="808"/>
      <c r="CB8" s="808"/>
      <c r="CC8" s="808"/>
      <c r="CD8" s="808"/>
      <c r="CE8" s="808"/>
      <c r="CF8" s="808"/>
      <c r="CG8" s="808"/>
      <c r="CH8" s="808"/>
      <c r="CI8" s="808"/>
      <c r="CJ8" s="808"/>
      <c r="CK8" s="808"/>
      <c r="CL8" s="808"/>
      <c r="CM8" s="808"/>
      <c r="CN8" s="808"/>
      <c r="CO8" s="808"/>
      <c r="CP8" s="808"/>
      <c r="CQ8" s="808"/>
      <c r="CR8" s="808"/>
      <c r="CS8" s="808"/>
      <c r="CT8" s="808"/>
      <c r="CU8" s="808"/>
      <c r="CV8" s="808"/>
      <c r="CW8" s="808"/>
      <c r="CX8" s="808"/>
      <c r="CY8" s="808"/>
      <c r="CZ8" s="808"/>
      <c r="DA8" s="808"/>
      <c r="DB8" s="808"/>
      <c r="DC8" s="808"/>
      <c r="DD8" s="808"/>
      <c r="DE8" s="808"/>
      <c r="DF8" s="808"/>
      <c r="DG8" s="808"/>
      <c r="DH8" s="808"/>
      <c r="DI8" s="808"/>
      <c r="DJ8" s="808"/>
      <c r="DK8" s="808"/>
      <c r="DL8" s="808"/>
      <c r="DM8" s="808"/>
      <c r="DN8" s="808"/>
      <c r="DO8" s="808"/>
      <c r="DP8" s="808"/>
    </row>
    <row r="9" spans="1:120">
      <c r="A9" s="821"/>
      <c r="B9" s="813" t="s">
        <v>962</v>
      </c>
      <c r="C9" s="816" t="s">
        <v>82</v>
      </c>
      <c r="D9" s="815">
        <v>5582676</v>
      </c>
      <c r="E9" s="815">
        <f>SUM(E6:E8)</f>
        <v>4440416.7799999993</v>
      </c>
      <c r="K9" s="808"/>
      <c r="M9" s="808"/>
      <c r="N9" s="808"/>
      <c r="O9" s="808"/>
      <c r="P9" s="808"/>
      <c r="Q9" s="808"/>
      <c r="R9" s="808"/>
      <c r="S9" s="808"/>
      <c r="T9" s="808"/>
      <c r="U9" s="808"/>
      <c r="V9" s="808"/>
      <c r="W9" s="808"/>
      <c r="X9" s="808"/>
      <c r="Y9" s="808"/>
      <c r="Z9" s="808"/>
      <c r="AA9" s="808"/>
      <c r="AB9" s="808"/>
      <c r="AC9" s="808"/>
      <c r="AD9" s="808"/>
      <c r="AE9" s="808"/>
      <c r="AF9" s="808"/>
      <c r="AG9" s="808"/>
      <c r="AH9" s="808"/>
      <c r="AI9" s="808"/>
      <c r="AJ9" s="808"/>
      <c r="AK9" s="808"/>
      <c r="AL9" s="808"/>
      <c r="AM9" s="808"/>
      <c r="AN9" s="808"/>
      <c r="AO9" s="808"/>
      <c r="AP9" s="808"/>
      <c r="AQ9" s="808"/>
      <c r="AR9" s="808"/>
      <c r="AS9" s="808"/>
      <c r="AT9" s="808"/>
      <c r="AU9" s="808"/>
      <c r="AV9" s="808"/>
      <c r="AW9" s="808"/>
      <c r="AX9" s="808"/>
      <c r="AY9" s="808"/>
      <c r="AZ9" s="808"/>
      <c r="BA9" s="808"/>
      <c r="BB9" s="808"/>
      <c r="BC9" s="808"/>
      <c r="BD9" s="808"/>
      <c r="BE9" s="808"/>
      <c r="BF9" s="808"/>
      <c r="BG9" s="808"/>
      <c r="BH9" s="808"/>
      <c r="BI9" s="808"/>
      <c r="BJ9" s="808"/>
      <c r="BK9" s="808"/>
      <c r="BL9" s="808"/>
      <c r="BM9" s="808"/>
      <c r="BN9" s="808"/>
      <c r="BO9" s="808"/>
      <c r="BP9" s="808"/>
      <c r="BQ9" s="808"/>
      <c r="BR9" s="808"/>
      <c r="BS9" s="808"/>
      <c r="BT9" s="808"/>
      <c r="BU9" s="808"/>
      <c r="BV9" s="808"/>
      <c r="BW9" s="808"/>
      <c r="BX9" s="808"/>
      <c r="BY9" s="808"/>
      <c r="BZ9" s="808"/>
      <c r="CA9" s="808"/>
      <c r="CB9" s="808"/>
      <c r="CC9" s="808"/>
      <c r="CD9" s="808"/>
      <c r="CE9" s="808"/>
      <c r="CF9" s="808"/>
      <c r="CG9" s="808"/>
      <c r="CH9" s="808"/>
      <c r="CI9" s="808"/>
      <c r="CJ9" s="808"/>
      <c r="CK9" s="808"/>
      <c r="CL9" s="808"/>
      <c r="CM9" s="808"/>
      <c r="CN9" s="808"/>
      <c r="CO9" s="808"/>
      <c r="CP9" s="808"/>
      <c r="CQ9" s="808"/>
      <c r="CR9" s="808"/>
      <c r="CS9" s="808"/>
      <c r="CT9" s="808"/>
      <c r="CU9" s="808"/>
      <c r="CV9" s="808"/>
      <c r="CW9" s="808"/>
      <c r="CX9" s="808"/>
      <c r="CY9" s="808"/>
      <c r="CZ9" s="808"/>
      <c r="DA9" s="808"/>
      <c r="DB9" s="808"/>
      <c r="DC9" s="808"/>
      <c r="DD9" s="808"/>
      <c r="DE9" s="808"/>
      <c r="DF9" s="808"/>
      <c r="DG9" s="808"/>
      <c r="DH9" s="808"/>
      <c r="DI9" s="808"/>
      <c r="DJ9" s="808"/>
      <c r="DK9" s="808"/>
      <c r="DL9" s="808"/>
      <c r="DM9" s="808"/>
      <c r="DN9" s="808"/>
      <c r="DO9" s="808"/>
      <c r="DP9" s="808"/>
    </row>
    <row r="10" spans="1:120">
      <c r="A10" s="821"/>
      <c r="B10" s="809" t="s">
        <v>1204</v>
      </c>
      <c r="C10" s="808"/>
      <c r="D10" s="214">
        <f>+D9-balance!C9/1000</f>
        <v>1193196.9184203008</v>
      </c>
      <c r="E10" s="214" t="e">
        <f>+#REF!/1000-E9</f>
        <v>#REF!</v>
      </c>
      <c r="K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8"/>
      <c r="AL10" s="808"/>
      <c r="AM10" s="808"/>
      <c r="AN10" s="808"/>
      <c r="AO10" s="808"/>
      <c r="AP10" s="808"/>
      <c r="AQ10" s="808"/>
      <c r="AR10" s="808"/>
      <c r="AS10" s="808"/>
      <c r="AT10" s="808"/>
      <c r="AU10" s="808"/>
      <c r="AV10" s="808"/>
      <c r="AW10" s="808"/>
      <c r="AX10" s="808"/>
      <c r="AY10" s="808"/>
      <c r="AZ10" s="808"/>
      <c r="BA10" s="808"/>
      <c r="BB10" s="808"/>
      <c r="BC10" s="808"/>
      <c r="BD10" s="808"/>
      <c r="BE10" s="808"/>
      <c r="BF10" s="808"/>
      <c r="BG10" s="808"/>
      <c r="BH10" s="808"/>
      <c r="BI10" s="808"/>
      <c r="BJ10" s="808"/>
      <c r="BK10" s="808"/>
      <c r="BL10" s="808"/>
      <c r="BM10" s="808"/>
      <c r="BN10" s="808"/>
      <c r="BO10" s="808"/>
      <c r="BP10" s="808"/>
      <c r="BQ10" s="808"/>
      <c r="BR10" s="808"/>
      <c r="BS10" s="808"/>
      <c r="BT10" s="808"/>
      <c r="BU10" s="808"/>
      <c r="BV10" s="808"/>
      <c r="BW10" s="808"/>
      <c r="BX10" s="808"/>
      <c r="BY10" s="808"/>
      <c r="BZ10" s="808"/>
      <c r="CA10" s="808"/>
      <c r="CB10" s="808"/>
      <c r="CC10" s="808"/>
      <c r="CD10" s="808"/>
      <c r="CE10" s="808"/>
      <c r="CF10" s="808"/>
      <c r="CG10" s="808"/>
      <c r="CH10" s="808"/>
      <c r="CI10" s="808"/>
      <c r="CJ10" s="808"/>
      <c r="CK10" s="808"/>
      <c r="CL10" s="808"/>
      <c r="CM10" s="808"/>
      <c r="CN10" s="808"/>
      <c r="CO10" s="808"/>
      <c r="CP10" s="808"/>
      <c r="CQ10" s="808"/>
      <c r="CR10" s="808"/>
      <c r="CS10" s="808"/>
      <c r="CT10" s="808"/>
      <c r="CU10" s="808"/>
      <c r="CV10" s="808"/>
      <c r="CW10" s="808"/>
      <c r="CX10" s="808"/>
      <c r="CY10" s="808"/>
      <c r="CZ10" s="808"/>
      <c r="DA10" s="808"/>
      <c r="DB10" s="808"/>
      <c r="DC10" s="808"/>
      <c r="DD10" s="808"/>
      <c r="DE10" s="808"/>
      <c r="DF10" s="808"/>
      <c r="DG10" s="808"/>
      <c r="DH10" s="808"/>
      <c r="DI10" s="808"/>
      <c r="DJ10" s="808"/>
      <c r="DK10" s="808"/>
      <c r="DL10" s="808"/>
      <c r="DM10" s="808"/>
      <c r="DN10" s="808"/>
      <c r="DO10" s="808"/>
      <c r="DP10" s="808"/>
    </row>
    <row r="11" spans="1:120">
      <c r="A11" s="821"/>
      <c r="B11" s="809" t="s">
        <v>1205</v>
      </c>
      <c r="C11" s="808"/>
      <c r="K11" s="808"/>
      <c r="M11" s="808"/>
      <c r="N11" s="808"/>
      <c r="O11" s="808"/>
      <c r="P11" s="808"/>
      <c r="Q11" s="808"/>
      <c r="R11" s="808"/>
      <c r="S11" s="808"/>
      <c r="T11" s="808"/>
      <c r="U11" s="808"/>
      <c r="V11" s="808"/>
      <c r="W11" s="808"/>
      <c r="X11" s="808"/>
      <c r="Y11" s="808"/>
      <c r="Z11" s="808"/>
      <c r="AA11" s="808"/>
      <c r="AB11" s="808"/>
      <c r="AC11" s="808"/>
      <c r="AD11" s="808"/>
      <c r="AE11" s="808"/>
      <c r="AF11" s="808"/>
      <c r="AG11" s="808"/>
      <c r="AH11" s="808"/>
      <c r="AI11" s="808"/>
      <c r="AJ11" s="808"/>
      <c r="AK11" s="808"/>
      <c r="AL11" s="808"/>
      <c r="AM11" s="808"/>
      <c r="AN11" s="808"/>
      <c r="AO11" s="808"/>
      <c r="AP11" s="808"/>
      <c r="AQ11" s="808"/>
      <c r="AR11" s="808"/>
      <c r="AS11" s="808"/>
      <c r="AT11" s="808"/>
      <c r="AU11" s="808"/>
      <c r="AV11" s="808"/>
      <c r="AW11" s="808"/>
      <c r="AX11" s="808"/>
      <c r="AY11" s="808"/>
      <c r="AZ11" s="808"/>
      <c r="BA11" s="808"/>
      <c r="BB11" s="808"/>
      <c r="BC11" s="808"/>
      <c r="BD11" s="808"/>
      <c r="BE11" s="808"/>
      <c r="BF11" s="808"/>
      <c r="BG11" s="808"/>
      <c r="BH11" s="808"/>
      <c r="BI11" s="808"/>
      <c r="BJ11" s="808"/>
      <c r="BK11" s="808"/>
      <c r="BL11" s="808"/>
      <c r="BM11" s="808"/>
      <c r="BN11" s="808"/>
      <c r="BO11" s="808"/>
      <c r="BP11" s="808"/>
      <c r="BQ11" s="808"/>
      <c r="BR11" s="808"/>
      <c r="BS11" s="808"/>
      <c r="BT11" s="808"/>
      <c r="BU11" s="808"/>
      <c r="BV11" s="808"/>
      <c r="BW11" s="808"/>
      <c r="BX11" s="808"/>
      <c r="BY11" s="808"/>
      <c r="BZ11" s="808"/>
      <c r="CA11" s="808"/>
      <c r="CB11" s="808"/>
      <c r="CC11" s="808"/>
      <c r="CD11" s="808"/>
      <c r="CE11" s="808"/>
      <c r="CF11" s="808"/>
      <c r="CG11" s="808"/>
      <c r="CH11" s="808"/>
      <c r="CI11" s="808"/>
      <c r="CJ11" s="808"/>
      <c r="CK11" s="808"/>
      <c r="CL11" s="808"/>
      <c r="CM11" s="808"/>
      <c r="CN11" s="808"/>
      <c r="CO11" s="808"/>
      <c r="CP11" s="808"/>
      <c r="CQ11" s="808"/>
      <c r="CR11" s="808"/>
      <c r="CS11" s="808"/>
      <c r="CT11" s="808"/>
      <c r="CU11" s="808"/>
      <c r="CV11" s="808"/>
      <c r="CW11" s="808"/>
      <c r="CX11" s="808"/>
      <c r="CY11" s="808"/>
      <c r="CZ11" s="808"/>
      <c r="DA11" s="808"/>
      <c r="DB11" s="808"/>
      <c r="DC11" s="808"/>
      <c r="DD11" s="808"/>
      <c r="DE11" s="808"/>
      <c r="DF11" s="808"/>
      <c r="DG11" s="808"/>
      <c r="DH11" s="808"/>
      <c r="DI11" s="808"/>
      <c r="DJ11" s="808"/>
      <c r="DK11" s="808"/>
      <c r="DL11" s="808"/>
      <c r="DM11" s="808"/>
      <c r="DN11" s="808"/>
      <c r="DO11" s="808"/>
      <c r="DP11" s="808"/>
    </row>
    <row r="12" spans="1:120">
      <c r="A12" s="821"/>
      <c r="B12" s="807"/>
      <c r="C12" s="808"/>
      <c r="F12" s="810" t="s">
        <v>1203</v>
      </c>
      <c r="K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8"/>
      <c r="AL12" s="808"/>
      <c r="AM12" s="808"/>
      <c r="AN12" s="808"/>
      <c r="AO12" s="808"/>
      <c r="AP12" s="808"/>
      <c r="AQ12" s="808"/>
      <c r="AR12" s="808"/>
      <c r="AS12" s="808"/>
      <c r="AT12" s="808"/>
      <c r="AU12" s="808"/>
      <c r="AV12" s="808"/>
      <c r="AW12" s="808"/>
      <c r="AX12" s="808"/>
      <c r="AY12" s="808"/>
      <c r="AZ12" s="808"/>
      <c r="BA12" s="808"/>
      <c r="BB12" s="808"/>
      <c r="BC12" s="808"/>
      <c r="BD12" s="808"/>
      <c r="BE12" s="808"/>
      <c r="BF12" s="808"/>
      <c r="BG12" s="808"/>
      <c r="BH12" s="808"/>
      <c r="BI12" s="808"/>
      <c r="BJ12" s="808"/>
      <c r="BK12" s="808"/>
      <c r="BL12" s="808"/>
      <c r="BM12" s="808"/>
      <c r="BN12" s="808"/>
      <c r="BO12" s="808"/>
      <c r="BP12" s="808"/>
      <c r="BQ12" s="808"/>
      <c r="BR12" s="808"/>
      <c r="BS12" s="808"/>
      <c r="BT12" s="808"/>
      <c r="BU12" s="808"/>
      <c r="BV12" s="808"/>
      <c r="BW12" s="808"/>
      <c r="BX12" s="808"/>
      <c r="BY12" s="808"/>
      <c r="BZ12" s="808"/>
      <c r="CA12" s="808"/>
      <c r="CB12" s="808"/>
      <c r="CC12" s="808"/>
      <c r="CD12" s="808"/>
      <c r="CE12" s="808"/>
      <c r="CF12" s="808"/>
      <c r="CG12" s="808"/>
      <c r="CH12" s="808"/>
      <c r="CI12" s="808"/>
      <c r="CJ12" s="808"/>
      <c r="CK12" s="808"/>
      <c r="CL12" s="808"/>
      <c r="CM12" s="808"/>
      <c r="CN12" s="808"/>
      <c r="CO12" s="808"/>
      <c r="CP12" s="808"/>
      <c r="CQ12" s="808"/>
      <c r="CR12" s="808"/>
      <c r="CS12" s="808"/>
      <c r="CT12" s="808"/>
      <c r="CU12" s="808"/>
      <c r="CV12" s="808"/>
      <c r="CW12" s="808"/>
      <c r="CX12" s="808"/>
      <c r="CY12" s="808"/>
      <c r="CZ12" s="808"/>
      <c r="DA12" s="808"/>
      <c r="DB12" s="808"/>
      <c r="DC12" s="808"/>
      <c r="DD12" s="808"/>
      <c r="DE12" s="808"/>
      <c r="DF12" s="808"/>
      <c r="DG12" s="808"/>
      <c r="DH12" s="808"/>
      <c r="DI12" s="808"/>
      <c r="DJ12" s="808"/>
      <c r="DK12" s="808"/>
      <c r="DL12" s="808"/>
      <c r="DM12" s="808"/>
      <c r="DN12" s="808"/>
      <c r="DO12" s="808"/>
      <c r="DP12" s="808"/>
    </row>
    <row r="13" spans="1:120" ht="26.4">
      <c r="A13" s="821"/>
      <c r="B13" s="811" t="s">
        <v>79</v>
      </c>
      <c r="C13" s="811" t="s">
        <v>5</v>
      </c>
      <c r="D13" s="812" t="s">
        <v>9</v>
      </c>
      <c r="E13" s="812" t="s">
        <v>204</v>
      </c>
      <c r="F13" s="812" t="s">
        <v>205</v>
      </c>
      <c r="K13" s="808"/>
      <c r="M13" s="808"/>
      <c r="N13" s="808"/>
      <c r="O13" s="808"/>
      <c r="P13" s="808"/>
      <c r="Q13" s="808"/>
      <c r="R13" s="808"/>
      <c r="S13" s="808"/>
      <c r="T13" s="808"/>
      <c r="U13" s="808"/>
      <c r="V13" s="808"/>
      <c r="W13" s="808"/>
      <c r="X13" s="808"/>
      <c r="Y13" s="808"/>
      <c r="Z13" s="808"/>
      <c r="AA13" s="808"/>
      <c r="AB13" s="808"/>
      <c r="AC13" s="808"/>
      <c r="AD13" s="808"/>
      <c r="AE13" s="808"/>
      <c r="AF13" s="808"/>
      <c r="AG13" s="808"/>
      <c r="AH13" s="808"/>
      <c r="AI13" s="808"/>
      <c r="AJ13" s="808"/>
      <c r="AK13" s="808"/>
      <c r="AL13" s="808"/>
      <c r="AM13" s="808"/>
      <c r="AN13" s="808"/>
      <c r="AO13" s="808"/>
      <c r="AP13" s="808"/>
      <c r="AQ13" s="808"/>
      <c r="AR13" s="808"/>
      <c r="AS13" s="808"/>
      <c r="AT13" s="808"/>
      <c r="AU13" s="808"/>
      <c r="AV13" s="808"/>
      <c r="AW13" s="808"/>
      <c r="AX13" s="808"/>
      <c r="AY13" s="808"/>
      <c r="AZ13" s="808"/>
      <c r="BA13" s="808"/>
      <c r="BB13" s="808"/>
      <c r="BC13" s="808"/>
      <c r="BD13" s="808"/>
      <c r="BE13" s="808"/>
      <c r="BF13" s="808"/>
      <c r="BG13" s="808"/>
      <c r="BH13" s="808"/>
      <c r="BI13" s="808"/>
      <c r="BJ13" s="808"/>
      <c r="BK13" s="808"/>
      <c r="BL13" s="808"/>
      <c r="BM13" s="808"/>
      <c r="BN13" s="808"/>
      <c r="BO13" s="808"/>
      <c r="BP13" s="808"/>
      <c r="BQ13" s="808"/>
      <c r="BR13" s="808"/>
      <c r="BS13" s="808"/>
      <c r="BT13" s="808"/>
      <c r="BU13" s="808"/>
      <c r="BV13" s="808"/>
      <c r="BW13" s="808"/>
      <c r="BX13" s="808"/>
      <c r="BY13" s="808"/>
      <c r="BZ13" s="808"/>
      <c r="CA13" s="808"/>
      <c r="CB13" s="808"/>
      <c r="CC13" s="808"/>
      <c r="CD13" s="808"/>
      <c r="CE13" s="808"/>
      <c r="CF13" s="808"/>
      <c r="CG13" s="808"/>
      <c r="CH13" s="808"/>
      <c r="CI13" s="808"/>
      <c r="CJ13" s="808"/>
      <c r="CK13" s="808"/>
      <c r="CL13" s="808"/>
      <c r="CM13" s="808"/>
      <c r="CN13" s="808"/>
      <c r="CO13" s="808"/>
      <c r="CP13" s="808"/>
      <c r="CQ13" s="808"/>
      <c r="CR13" s="808"/>
      <c r="CS13" s="808"/>
      <c r="CT13" s="808"/>
      <c r="CU13" s="808"/>
      <c r="CV13" s="808"/>
      <c r="CW13" s="808"/>
      <c r="CX13" s="808"/>
      <c r="CY13" s="808"/>
      <c r="CZ13" s="808"/>
      <c r="DA13" s="808"/>
      <c r="DB13" s="808"/>
      <c r="DC13" s="808"/>
      <c r="DD13" s="808"/>
      <c r="DE13" s="808"/>
      <c r="DF13" s="808"/>
      <c r="DG13" s="808"/>
      <c r="DH13" s="808"/>
      <c r="DI13" s="808"/>
      <c r="DJ13" s="808"/>
      <c r="DK13" s="808"/>
      <c r="DL13" s="808"/>
      <c r="DM13" s="808"/>
      <c r="DN13" s="808"/>
      <c r="DO13" s="808"/>
      <c r="DP13" s="808"/>
    </row>
    <row r="14" spans="1:120">
      <c r="A14" s="821"/>
      <c r="B14" s="813" t="s">
        <v>947</v>
      </c>
      <c r="C14" s="814" t="s">
        <v>194</v>
      </c>
      <c r="D14" s="815">
        <f>10699785.3+E14</f>
        <v>12086318.800000001</v>
      </c>
      <c r="E14" s="815">
        <v>1386533.5</v>
      </c>
      <c r="F14" s="815">
        <f>+D14-E14</f>
        <v>10699785.300000001</v>
      </c>
      <c r="G14" s="214">
        <f>+F14-balance!C10/1000</f>
        <v>10109318.057644872</v>
      </c>
      <c r="K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808"/>
      <c r="AJ14" s="808"/>
      <c r="AK14" s="808"/>
      <c r="AL14" s="808"/>
      <c r="AM14" s="808"/>
      <c r="AN14" s="808"/>
      <c r="AO14" s="808"/>
      <c r="AP14" s="808"/>
      <c r="AQ14" s="808"/>
      <c r="AR14" s="808"/>
      <c r="AS14" s="808"/>
      <c r="AT14" s="808"/>
      <c r="AU14" s="808"/>
      <c r="AV14" s="808"/>
      <c r="AW14" s="808"/>
      <c r="AX14" s="808"/>
      <c r="AY14" s="808"/>
      <c r="AZ14" s="808"/>
      <c r="BA14" s="808"/>
      <c r="BB14" s="808"/>
      <c r="BC14" s="808"/>
      <c r="BD14" s="808"/>
      <c r="BE14" s="808"/>
      <c r="BF14" s="808"/>
      <c r="BG14" s="808"/>
      <c r="BH14" s="808"/>
      <c r="BI14" s="808"/>
      <c r="BJ14" s="808"/>
      <c r="BK14" s="808"/>
      <c r="BL14" s="808"/>
      <c r="BM14" s="808"/>
      <c r="BN14" s="808"/>
      <c r="BO14" s="808"/>
      <c r="BP14" s="808"/>
      <c r="BQ14" s="808"/>
      <c r="BR14" s="808"/>
      <c r="BS14" s="808"/>
      <c r="BT14" s="808"/>
      <c r="BU14" s="808"/>
      <c r="BV14" s="808"/>
      <c r="BW14" s="808"/>
      <c r="BX14" s="808"/>
      <c r="BY14" s="808"/>
      <c r="BZ14" s="808"/>
      <c r="CA14" s="808"/>
      <c r="CB14" s="808"/>
      <c r="CC14" s="808"/>
      <c r="CD14" s="808"/>
      <c r="CE14" s="808"/>
      <c r="CF14" s="808"/>
      <c r="CG14" s="808"/>
      <c r="CH14" s="808"/>
      <c r="CI14" s="808"/>
      <c r="CJ14" s="808"/>
      <c r="CK14" s="808"/>
      <c r="CL14" s="808"/>
      <c r="CM14" s="808"/>
      <c r="CN14" s="808"/>
      <c r="CO14" s="808"/>
      <c r="CP14" s="808"/>
      <c r="CQ14" s="808"/>
      <c r="CR14" s="808"/>
      <c r="CS14" s="808"/>
      <c r="CT14" s="808"/>
      <c r="CU14" s="808"/>
      <c r="CV14" s="808"/>
      <c r="CW14" s="808"/>
      <c r="CX14" s="808"/>
      <c r="CY14" s="808"/>
      <c r="CZ14" s="808"/>
      <c r="DA14" s="808"/>
      <c r="DB14" s="808"/>
      <c r="DC14" s="808"/>
      <c r="DD14" s="808"/>
      <c r="DE14" s="808"/>
      <c r="DF14" s="808"/>
      <c r="DG14" s="808"/>
      <c r="DH14" s="808"/>
      <c r="DI14" s="808"/>
      <c r="DJ14" s="808"/>
      <c r="DK14" s="808"/>
      <c r="DL14" s="808"/>
      <c r="DM14" s="808"/>
      <c r="DN14" s="808"/>
      <c r="DO14" s="808"/>
      <c r="DP14" s="808"/>
    </row>
    <row r="15" spans="1:120">
      <c r="A15" s="821"/>
      <c r="B15" s="813" t="s">
        <v>1206</v>
      </c>
      <c r="C15" s="814" t="s">
        <v>206</v>
      </c>
      <c r="D15" s="815">
        <f>+J15/1000</f>
        <v>57334842.353580505</v>
      </c>
      <c r="E15" s="815">
        <v>0</v>
      </c>
      <c r="F15" s="815">
        <f t="shared" ref="F15:F18" si="0">+D15-E15</f>
        <v>57334842.353580505</v>
      </c>
      <c r="H15" s="214">
        <v>57808913346.750504</v>
      </c>
      <c r="I15" s="214">
        <f>55831336.17+290311612+127928045</f>
        <v>474070993.17000002</v>
      </c>
      <c r="J15" s="214">
        <f>+H15-I15</f>
        <v>57334842353.580505</v>
      </c>
      <c r="K15" s="808"/>
      <c r="M15" s="808"/>
      <c r="N15" s="808"/>
      <c r="O15" s="808"/>
      <c r="P15" s="808"/>
      <c r="Q15" s="808"/>
      <c r="R15" s="808"/>
      <c r="S15" s="808"/>
      <c r="T15" s="808"/>
      <c r="U15" s="808"/>
      <c r="V15" s="808"/>
      <c r="W15" s="808"/>
      <c r="X15" s="808"/>
      <c r="Y15" s="808"/>
      <c r="Z15" s="808"/>
      <c r="AA15" s="808"/>
      <c r="AB15" s="808"/>
      <c r="AC15" s="808"/>
      <c r="AD15" s="808"/>
      <c r="AE15" s="808"/>
      <c r="AF15" s="808"/>
      <c r="AG15" s="808"/>
      <c r="AH15" s="808"/>
      <c r="AI15" s="808"/>
      <c r="AJ15" s="808"/>
      <c r="AK15" s="808"/>
      <c r="AL15" s="808"/>
      <c r="AM15" s="808"/>
      <c r="AN15" s="808"/>
      <c r="AO15" s="808"/>
      <c r="AP15" s="808"/>
      <c r="AQ15" s="808"/>
      <c r="AR15" s="808"/>
      <c r="AS15" s="808"/>
      <c r="AT15" s="808"/>
      <c r="AU15" s="808"/>
      <c r="AV15" s="808"/>
      <c r="AW15" s="808"/>
      <c r="AX15" s="808"/>
      <c r="AY15" s="808"/>
      <c r="AZ15" s="808"/>
      <c r="BA15" s="808"/>
      <c r="BB15" s="808"/>
      <c r="BC15" s="808"/>
      <c r="BD15" s="808"/>
      <c r="BE15" s="808"/>
      <c r="BF15" s="808"/>
      <c r="BG15" s="808"/>
      <c r="BH15" s="808"/>
      <c r="BI15" s="808"/>
      <c r="BJ15" s="808"/>
      <c r="BK15" s="808"/>
      <c r="BL15" s="808"/>
      <c r="BM15" s="808"/>
      <c r="BN15" s="808"/>
      <c r="BO15" s="808"/>
      <c r="BP15" s="808"/>
      <c r="BQ15" s="808"/>
      <c r="BR15" s="808"/>
      <c r="BS15" s="808"/>
      <c r="BT15" s="808"/>
      <c r="BU15" s="808"/>
      <c r="BV15" s="808"/>
      <c r="BW15" s="808"/>
      <c r="BX15" s="808"/>
      <c r="BY15" s="808"/>
      <c r="BZ15" s="808"/>
      <c r="CA15" s="808"/>
      <c r="CB15" s="808"/>
      <c r="CC15" s="808"/>
      <c r="CD15" s="808"/>
      <c r="CE15" s="808"/>
      <c r="CF15" s="808"/>
      <c r="CG15" s="808"/>
      <c r="CH15" s="808"/>
      <c r="CI15" s="808"/>
      <c r="CJ15" s="808"/>
      <c r="CK15" s="808"/>
      <c r="CL15" s="808"/>
      <c r="CM15" s="808"/>
      <c r="CN15" s="808"/>
      <c r="CO15" s="808"/>
      <c r="CP15" s="808"/>
      <c r="CQ15" s="808"/>
      <c r="CR15" s="808"/>
      <c r="CS15" s="808"/>
      <c r="CT15" s="808"/>
      <c r="CU15" s="808"/>
      <c r="CV15" s="808"/>
      <c r="CW15" s="808"/>
      <c r="CX15" s="808"/>
      <c r="CY15" s="808"/>
      <c r="CZ15" s="808"/>
      <c r="DA15" s="808"/>
      <c r="DB15" s="808"/>
      <c r="DC15" s="808"/>
      <c r="DD15" s="808"/>
      <c r="DE15" s="808"/>
      <c r="DF15" s="808"/>
      <c r="DG15" s="808"/>
      <c r="DH15" s="808"/>
      <c r="DI15" s="808"/>
      <c r="DJ15" s="808"/>
      <c r="DK15" s="808"/>
      <c r="DL15" s="808"/>
      <c r="DM15" s="808"/>
      <c r="DN15" s="808"/>
      <c r="DO15" s="808"/>
      <c r="DP15" s="808"/>
    </row>
    <row r="16" spans="1:120">
      <c r="A16" s="821"/>
      <c r="B16" s="813" t="s">
        <v>961</v>
      </c>
      <c r="C16" s="814" t="s">
        <v>1207</v>
      </c>
      <c r="D16" s="851">
        <f>58396337.6-462385+0.09-324495.52</f>
        <v>57609457.170000002</v>
      </c>
      <c r="E16" s="815">
        <v>924148.61</v>
      </c>
      <c r="F16" s="815">
        <f t="shared" si="0"/>
        <v>56685308.560000002</v>
      </c>
      <c r="K16" s="808"/>
      <c r="M16" s="808"/>
      <c r="N16" s="808"/>
      <c r="O16" s="808"/>
      <c r="P16" s="808"/>
      <c r="Q16" s="808"/>
      <c r="R16" s="808"/>
      <c r="S16" s="808"/>
      <c r="T16" s="808"/>
      <c r="U16" s="808"/>
      <c r="V16" s="808"/>
      <c r="W16" s="808"/>
      <c r="X16" s="808"/>
      <c r="Y16" s="808"/>
      <c r="Z16" s="808"/>
      <c r="AA16" s="808"/>
      <c r="AB16" s="808"/>
      <c r="AC16" s="808"/>
      <c r="AD16" s="808"/>
      <c r="AE16" s="808"/>
      <c r="AF16" s="808"/>
      <c r="AG16" s="808"/>
      <c r="AH16" s="808"/>
      <c r="AI16" s="808"/>
      <c r="AJ16" s="808"/>
      <c r="AK16" s="808"/>
      <c r="AL16" s="808"/>
      <c r="AM16" s="808"/>
      <c r="AN16" s="808"/>
      <c r="AO16" s="808"/>
      <c r="AP16" s="808"/>
      <c r="AQ16" s="808"/>
      <c r="AR16" s="808"/>
      <c r="AS16" s="808"/>
      <c r="AT16" s="808"/>
      <c r="AU16" s="808"/>
      <c r="AV16" s="808"/>
      <c r="AW16" s="808"/>
      <c r="AX16" s="808"/>
      <c r="AY16" s="808"/>
      <c r="AZ16" s="808"/>
      <c r="BA16" s="808"/>
      <c r="BB16" s="808"/>
      <c r="BC16" s="808"/>
      <c r="BD16" s="808"/>
      <c r="BE16" s="808"/>
      <c r="BF16" s="808"/>
      <c r="BG16" s="808"/>
      <c r="BH16" s="808"/>
      <c r="BI16" s="808"/>
      <c r="BJ16" s="808"/>
      <c r="BK16" s="808"/>
      <c r="BL16" s="808"/>
      <c r="BM16" s="808"/>
      <c r="BN16" s="808"/>
      <c r="BO16" s="808"/>
      <c r="BP16" s="808"/>
      <c r="BQ16" s="808"/>
      <c r="BR16" s="808"/>
      <c r="BS16" s="808"/>
      <c r="BT16" s="808"/>
      <c r="BU16" s="808"/>
      <c r="BV16" s="808"/>
      <c r="BW16" s="808"/>
      <c r="BX16" s="808"/>
      <c r="BY16" s="808"/>
      <c r="BZ16" s="808"/>
      <c r="CA16" s="808"/>
      <c r="CB16" s="808"/>
      <c r="CC16" s="808"/>
      <c r="CD16" s="808"/>
      <c r="CE16" s="808"/>
      <c r="CF16" s="808"/>
      <c r="CG16" s="808"/>
      <c r="CH16" s="808"/>
      <c r="CI16" s="808"/>
      <c r="CJ16" s="808"/>
      <c r="CK16" s="808"/>
      <c r="CL16" s="808"/>
      <c r="CM16" s="808"/>
      <c r="CN16" s="808"/>
      <c r="CO16" s="808"/>
      <c r="CP16" s="808"/>
      <c r="CQ16" s="808"/>
      <c r="CR16" s="808"/>
      <c r="CS16" s="808"/>
      <c r="CT16" s="808"/>
      <c r="CU16" s="808"/>
      <c r="CV16" s="808"/>
      <c r="CW16" s="808"/>
      <c r="CX16" s="808"/>
      <c r="CY16" s="808"/>
      <c r="CZ16" s="808"/>
      <c r="DA16" s="808"/>
      <c r="DB16" s="808"/>
      <c r="DC16" s="808"/>
      <c r="DD16" s="808"/>
      <c r="DE16" s="808"/>
      <c r="DF16" s="808"/>
      <c r="DG16" s="808"/>
      <c r="DH16" s="808"/>
      <c r="DI16" s="808"/>
      <c r="DJ16" s="808"/>
      <c r="DK16" s="808"/>
      <c r="DL16" s="808"/>
      <c r="DM16" s="808"/>
      <c r="DN16" s="808"/>
      <c r="DO16" s="808"/>
      <c r="DP16" s="808"/>
    </row>
    <row r="17" spans="1:120">
      <c r="A17" s="821"/>
      <c r="B17" s="813" t="s">
        <v>1208</v>
      </c>
      <c r="C17" s="814" t="s">
        <v>1209</v>
      </c>
      <c r="D17" s="815">
        <v>0</v>
      </c>
      <c r="E17" s="815">
        <v>0</v>
      </c>
      <c r="F17" s="815">
        <f t="shared" si="0"/>
        <v>0</v>
      </c>
      <c r="K17" s="808"/>
      <c r="M17" s="808"/>
      <c r="N17" s="808"/>
      <c r="O17" s="808"/>
      <c r="P17" s="808"/>
      <c r="Q17" s="808"/>
      <c r="R17" s="808"/>
      <c r="S17" s="808"/>
      <c r="T17" s="808"/>
      <c r="U17" s="808"/>
      <c r="V17" s="808"/>
      <c r="W17" s="808"/>
      <c r="X17" s="808"/>
      <c r="Y17" s="808"/>
      <c r="Z17" s="808"/>
      <c r="AA17" s="808"/>
      <c r="AB17" s="808"/>
      <c r="AC17" s="808"/>
      <c r="AD17" s="808"/>
      <c r="AE17" s="808"/>
      <c r="AF17" s="808"/>
      <c r="AG17" s="808"/>
      <c r="AH17" s="808"/>
      <c r="AI17" s="808"/>
      <c r="AJ17" s="808"/>
      <c r="AK17" s="808"/>
      <c r="AL17" s="808"/>
      <c r="AM17" s="808"/>
      <c r="AN17" s="808"/>
      <c r="AO17" s="808"/>
      <c r="AP17" s="808"/>
      <c r="AQ17" s="808"/>
      <c r="AR17" s="808"/>
      <c r="AS17" s="808"/>
      <c r="AT17" s="808"/>
      <c r="AU17" s="808"/>
      <c r="AV17" s="808"/>
      <c r="AW17" s="808"/>
      <c r="AX17" s="808"/>
      <c r="AY17" s="808"/>
      <c r="AZ17" s="808"/>
      <c r="BA17" s="808"/>
      <c r="BB17" s="808"/>
      <c r="BC17" s="808"/>
      <c r="BD17" s="808"/>
      <c r="BE17" s="808"/>
      <c r="BF17" s="808"/>
      <c r="BG17" s="808"/>
      <c r="BH17" s="808"/>
      <c r="BI17" s="808"/>
      <c r="BJ17" s="808"/>
      <c r="BK17" s="808"/>
      <c r="BL17" s="808"/>
      <c r="BM17" s="808"/>
      <c r="BN17" s="808"/>
      <c r="BO17" s="808"/>
      <c r="BP17" s="808"/>
      <c r="BQ17" s="808"/>
      <c r="BR17" s="808"/>
      <c r="BS17" s="808"/>
      <c r="BT17" s="808"/>
      <c r="BU17" s="808"/>
      <c r="BV17" s="808"/>
      <c r="BW17" s="808"/>
      <c r="BX17" s="808"/>
      <c r="BY17" s="808"/>
      <c r="BZ17" s="808"/>
      <c r="CA17" s="808"/>
      <c r="CB17" s="808"/>
      <c r="CC17" s="808"/>
      <c r="CD17" s="808"/>
      <c r="CE17" s="808"/>
      <c r="CF17" s="808"/>
      <c r="CG17" s="808"/>
      <c r="CH17" s="808"/>
      <c r="CI17" s="808"/>
      <c r="CJ17" s="808"/>
      <c r="CK17" s="808"/>
      <c r="CL17" s="808"/>
      <c r="CM17" s="808"/>
      <c r="CN17" s="808"/>
      <c r="CO17" s="808"/>
      <c r="CP17" s="808"/>
      <c r="CQ17" s="808"/>
      <c r="CR17" s="808"/>
      <c r="CS17" s="808"/>
      <c r="CT17" s="808"/>
      <c r="CU17" s="808"/>
      <c r="CV17" s="808"/>
      <c r="CW17" s="808"/>
      <c r="CX17" s="808"/>
      <c r="CY17" s="808"/>
      <c r="CZ17" s="808"/>
      <c r="DA17" s="808"/>
      <c r="DB17" s="808"/>
      <c r="DC17" s="808"/>
      <c r="DD17" s="808"/>
      <c r="DE17" s="808"/>
      <c r="DF17" s="808"/>
      <c r="DG17" s="808"/>
      <c r="DH17" s="808"/>
      <c r="DI17" s="808"/>
      <c r="DJ17" s="808"/>
      <c r="DK17" s="808"/>
      <c r="DL17" s="808"/>
      <c r="DM17" s="808"/>
      <c r="DN17" s="808"/>
      <c r="DO17" s="808"/>
      <c r="DP17" s="808"/>
    </row>
    <row r="18" spans="1:120">
      <c r="A18" s="821"/>
      <c r="B18" s="813" t="s">
        <v>1210</v>
      </c>
      <c r="C18" s="814" t="s">
        <v>1211</v>
      </c>
      <c r="D18" s="815">
        <v>0</v>
      </c>
      <c r="E18" s="815">
        <v>0</v>
      </c>
      <c r="F18" s="815">
        <f t="shared" si="0"/>
        <v>0</v>
      </c>
      <c r="K18" s="808"/>
      <c r="M18" s="808"/>
      <c r="N18" s="808"/>
      <c r="O18" s="808"/>
      <c r="P18" s="808"/>
      <c r="Q18" s="808"/>
      <c r="R18" s="808"/>
      <c r="S18" s="808"/>
      <c r="T18" s="808"/>
      <c r="U18" s="808"/>
      <c r="V18" s="808"/>
      <c r="W18" s="808"/>
      <c r="X18" s="808"/>
      <c r="Y18" s="808"/>
      <c r="Z18" s="808"/>
      <c r="AA18" s="808"/>
      <c r="AB18" s="808"/>
      <c r="AC18" s="808"/>
      <c r="AD18" s="808"/>
      <c r="AE18" s="808"/>
      <c r="AF18" s="808"/>
      <c r="AG18" s="808"/>
      <c r="AH18" s="808"/>
      <c r="AI18" s="808"/>
      <c r="AJ18" s="808"/>
      <c r="AK18" s="808"/>
      <c r="AL18" s="808"/>
      <c r="AM18" s="808"/>
      <c r="AN18" s="808"/>
      <c r="AO18" s="808"/>
      <c r="AP18" s="808"/>
      <c r="AQ18" s="808"/>
      <c r="AR18" s="808"/>
      <c r="AS18" s="808"/>
      <c r="AT18" s="808"/>
      <c r="AU18" s="808"/>
      <c r="AV18" s="808"/>
      <c r="AW18" s="808"/>
      <c r="AX18" s="808"/>
      <c r="AY18" s="808"/>
      <c r="AZ18" s="808"/>
      <c r="BA18" s="808"/>
      <c r="BB18" s="808"/>
      <c r="BC18" s="808"/>
      <c r="BD18" s="808"/>
      <c r="BE18" s="808"/>
      <c r="BF18" s="808"/>
      <c r="BG18" s="808"/>
      <c r="BH18" s="808"/>
      <c r="BI18" s="808"/>
      <c r="BJ18" s="808"/>
      <c r="BK18" s="808"/>
      <c r="BL18" s="808"/>
      <c r="BM18" s="808"/>
      <c r="BN18" s="808"/>
      <c r="BO18" s="808"/>
      <c r="BP18" s="808"/>
      <c r="BQ18" s="808"/>
      <c r="BR18" s="808"/>
      <c r="BS18" s="808"/>
      <c r="BT18" s="808"/>
      <c r="BU18" s="808"/>
      <c r="BV18" s="808"/>
      <c r="BW18" s="808"/>
      <c r="BX18" s="808"/>
      <c r="BY18" s="808"/>
      <c r="BZ18" s="808"/>
      <c r="CA18" s="808"/>
      <c r="CB18" s="808"/>
      <c r="CC18" s="808"/>
      <c r="CD18" s="808"/>
      <c r="CE18" s="808"/>
      <c r="CF18" s="808"/>
      <c r="CG18" s="808"/>
      <c r="CH18" s="808"/>
      <c r="CI18" s="808"/>
      <c r="CJ18" s="808"/>
      <c r="CK18" s="808"/>
      <c r="CL18" s="808"/>
      <c r="CM18" s="808"/>
      <c r="CN18" s="808"/>
      <c r="CO18" s="808"/>
      <c r="CP18" s="808"/>
      <c r="CQ18" s="808"/>
      <c r="CR18" s="808"/>
      <c r="CS18" s="808"/>
      <c r="CT18" s="808"/>
      <c r="CU18" s="808"/>
      <c r="CV18" s="808"/>
      <c r="CW18" s="808"/>
      <c r="CX18" s="808"/>
      <c r="CY18" s="808"/>
      <c r="CZ18" s="808"/>
      <c r="DA18" s="808"/>
      <c r="DB18" s="808"/>
      <c r="DC18" s="808"/>
      <c r="DD18" s="808"/>
      <c r="DE18" s="808"/>
      <c r="DF18" s="808"/>
      <c r="DG18" s="808"/>
      <c r="DH18" s="808"/>
      <c r="DI18" s="808"/>
      <c r="DJ18" s="808"/>
      <c r="DK18" s="808"/>
      <c r="DL18" s="808"/>
      <c r="DM18" s="808"/>
      <c r="DN18" s="808"/>
      <c r="DO18" s="808"/>
      <c r="DP18" s="808"/>
    </row>
    <row r="19" spans="1:120">
      <c r="A19" s="821"/>
      <c r="B19" s="813" t="s">
        <v>962</v>
      </c>
      <c r="C19" s="814" t="s">
        <v>195</v>
      </c>
      <c r="D19" s="815">
        <f>+D14+D15-D16</f>
        <v>11811703.9835805</v>
      </c>
      <c r="E19" s="815">
        <f>+E14+E15-E16</f>
        <v>462384.89</v>
      </c>
      <c r="F19" s="815">
        <f>+F14+F15-F16</f>
        <v>11349319.093580499</v>
      </c>
      <c r="G19" s="824">
        <f>+F19-balance!D10/1000</f>
        <v>10084476.147709699</v>
      </c>
      <c r="K19" s="808"/>
      <c r="M19" s="808"/>
      <c r="N19" s="808"/>
      <c r="O19" s="808"/>
      <c r="P19" s="808"/>
      <c r="Q19" s="808"/>
      <c r="R19" s="808"/>
      <c r="S19" s="808"/>
      <c r="T19" s="808"/>
      <c r="U19" s="808"/>
      <c r="V19" s="808"/>
      <c r="W19" s="808"/>
      <c r="X19" s="808"/>
      <c r="Y19" s="808"/>
      <c r="Z19" s="808"/>
      <c r="AA19" s="808"/>
      <c r="AB19" s="808"/>
      <c r="AC19" s="808"/>
      <c r="AD19" s="808"/>
      <c r="AE19" s="808"/>
      <c r="AF19" s="808"/>
      <c r="AG19" s="808"/>
      <c r="AH19" s="808"/>
      <c r="AI19" s="808"/>
      <c r="AJ19" s="808"/>
      <c r="AK19" s="808"/>
      <c r="AL19" s="808"/>
      <c r="AM19" s="808"/>
      <c r="AN19" s="808"/>
      <c r="AO19" s="808"/>
      <c r="AP19" s="808"/>
      <c r="AQ19" s="808"/>
      <c r="AR19" s="808"/>
      <c r="AS19" s="808"/>
      <c r="AT19" s="808"/>
      <c r="AU19" s="808"/>
      <c r="AV19" s="808"/>
      <c r="AW19" s="808"/>
      <c r="AX19" s="808"/>
      <c r="AY19" s="808"/>
      <c r="AZ19" s="808"/>
      <c r="BA19" s="808"/>
      <c r="BB19" s="808"/>
      <c r="BC19" s="808"/>
      <c r="BD19" s="808"/>
      <c r="BE19" s="808"/>
      <c r="BF19" s="808"/>
      <c r="BG19" s="808"/>
      <c r="BH19" s="808"/>
      <c r="BI19" s="808"/>
      <c r="BJ19" s="808"/>
      <c r="BK19" s="808"/>
      <c r="BL19" s="808"/>
      <c r="BM19" s="808"/>
      <c r="BN19" s="808"/>
      <c r="BO19" s="808"/>
      <c r="BP19" s="808"/>
      <c r="BQ19" s="808"/>
      <c r="BR19" s="808"/>
      <c r="BS19" s="808"/>
      <c r="BT19" s="808"/>
      <c r="BU19" s="808"/>
      <c r="BV19" s="808"/>
      <c r="BW19" s="808"/>
      <c r="BX19" s="808"/>
      <c r="BY19" s="808"/>
      <c r="BZ19" s="808"/>
      <c r="CA19" s="808"/>
      <c r="CB19" s="808"/>
      <c r="CC19" s="808"/>
      <c r="CD19" s="808"/>
      <c r="CE19" s="808"/>
      <c r="CF19" s="808"/>
      <c r="CG19" s="808"/>
      <c r="CH19" s="808"/>
      <c r="CI19" s="808"/>
      <c r="CJ19" s="808"/>
      <c r="CK19" s="808"/>
      <c r="CL19" s="808"/>
      <c r="CM19" s="808"/>
      <c r="CN19" s="808"/>
      <c r="CO19" s="808"/>
      <c r="CP19" s="808"/>
      <c r="CQ19" s="808"/>
      <c r="CR19" s="808"/>
      <c r="CS19" s="808"/>
      <c r="CT19" s="808"/>
      <c r="CU19" s="808"/>
      <c r="CV19" s="808"/>
      <c r="CW19" s="808"/>
      <c r="CX19" s="808"/>
      <c r="CY19" s="808"/>
      <c r="CZ19" s="808"/>
      <c r="DA19" s="808"/>
      <c r="DB19" s="808"/>
      <c r="DC19" s="808"/>
      <c r="DD19" s="808"/>
      <c r="DE19" s="808"/>
      <c r="DF19" s="808"/>
      <c r="DG19" s="808"/>
      <c r="DH19" s="808"/>
      <c r="DI19" s="808"/>
      <c r="DJ19" s="808"/>
      <c r="DK19" s="808"/>
      <c r="DL19" s="808"/>
      <c r="DM19" s="808"/>
      <c r="DN19" s="808"/>
      <c r="DO19" s="808"/>
      <c r="DP19" s="808"/>
    </row>
    <row r="20" spans="1:120">
      <c r="A20" s="821"/>
      <c r="B20" s="809" t="s">
        <v>1212</v>
      </c>
      <c r="C20" s="808"/>
      <c r="E20" s="214">
        <f>-462384886.13/1000+E19</f>
        <v>3.8700000150129199E-3</v>
      </c>
      <c r="G20" s="214" t="e">
        <f>+balance!#REF!</f>
        <v>#REF!</v>
      </c>
      <c r="K20" s="808"/>
      <c r="M20" s="808"/>
      <c r="N20" s="808"/>
      <c r="O20" s="808"/>
      <c r="P20" s="808"/>
      <c r="Q20" s="808"/>
      <c r="R20" s="808"/>
      <c r="S20" s="808"/>
      <c r="T20" s="808"/>
      <c r="U20" s="808"/>
      <c r="V20" s="808"/>
      <c r="W20" s="808"/>
      <c r="X20" s="808"/>
      <c r="Y20" s="808"/>
      <c r="Z20" s="808"/>
      <c r="AA20" s="808"/>
      <c r="AB20" s="808"/>
      <c r="AC20" s="808"/>
      <c r="AD20" s="808"/>
      <c r="AE20" s="808"/>
      <c r="AF20" s="808"/>
      <c r="AG20" s="808"/>
      <c r="AH20" s="808"/>
      <c r="AI20" s="808"/>
      <c r="AJ20" s="808"/>
      <c r="AK20" s="808"/>
      <c r="AL20" s="808"/>
      <c r="AM20" s="808"/>
      <c r="AN20" s="808"/>
      <c r="AO20" s="808"/>
      <c r="AP20" s="808"/>
      <c r="AQ20" s="808"/>
      <c r="AR20" s="808"/>
      <c r="AS20" s="808"/>
      <c r="AT20" s="808"/>
      <c r="AU20" s="808"/>
      <c r="AV20" s="808"/>
      <c r="AW20" s="808"/>
      <c r="AX20" s="808"/>
      <c r="AY20" s="808"/>
      <c r="AZ20" s="808"/>
      <c r="BA20" s="808"/>
      <c r="BB20" s="808"/>
      <c r="BC20" s="808"/>
      <c r="BD20" s="808"/>
      <c r="BE20" s="808"/>
      <c r="BF20" s="808"/>
      <c r="BG20" s="808"/>
      <c r="BH20" s="808"/>
      <c r="BI20" s="808"/>
      <c r="BJ20" s="808"/>
      <c r="BK20" s="808"/>
      <c r="BL20" s="808"/>
      <c r="BM20" s="808"/>
      <c r="BN20" s="808"/>
      <c r="BO20" s="808"/>
      <c r="BP20" s="808"/>
      <c r="BQ20" s="808"/>
      <c r="BR20" s="808"/>
      <c r="BS20" s="808"/>
      <c r="BT20" s="808"/>
      <c r="BU20" s="808"/>
      <c r="BV20" s="808"/>
      <c r="BW20" s="808"/>
      <c r="BX20" s="808"/>
      <c r="BY20" s="808"/>
      <c r="BZ20" s="808"/>
      <c r="CA20" s="808"/>
      <c r="CB20" s="808"/>
      <c r="CC20" s="808"/>
      <c r="CD20" s="808"/>
      <c r="CE20" s="808"/>
      <c r="CF20" s="808"/>
      <c r="CG20" s="808"/>
      <c r="CH20" s="808"/>
      <c r="CI20" s="808"/>
      <c r="CJ20" s="808"/>
      <c r="CK20" s="808"/>
      <c r="CL20" s="808"/>
      <c r="CM20" s="808"/>
      <c r="CN20" s="808"/>
      <c r="CO20" s="808"/>
      <c r="CP20" s="808"/>
      <c r="CQ20" s="808"/>
      <c r="CR20" s="808"/>
      <c r="CS20" s="808"/>
      <c r="CT20" s="808"/>
      <c r="CU20" s="808"/>
      <c r="CV20" s="808"/>
      <c r="CW20" s="808"/>
      <c r="CX20" s="808"/>
      <c r="CY20" s="808"/>
      <c r="CZ20" s="808"/>
      <c r="DA20" s="808"/>
      <c r="DB20" s="808"/>
      <c r="DC20" s="808"/>
      <c r="DD20" s="808"/>
      <c r="DE20" s="808"/>
      <c r="DF20" s="808"/>
      <c r="DG20" s="808"/>
      <c r="DH20" s="808"/>
      <c r="DI20" s="808"/>
      <c r="DJ20" s="808"/>
      <c r="DK20" s="808"/>
      <c r="DL20" s="808"/>
      <c r="DM20" s="808"/>
      <c r="DN20" s="808"/>
      <c r="DO20" s="808"/>
      <c r="DP20" s="808"/>
    </row>
    <row r="21" spans="1:120">
      <c r="A21" s="821"/>
      <c r="B21" s="807"/>
      <c r="C21" s="808"/>
      <c r="E21" s="810" t="s">
        <v>1203</v>
      </c>
      <c r="G21" s="214" t="e">
        <f>+G20-F19</f>
        <v>#REF!</v>
      </c>
      <c r="K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808"/>
      <c r="AN21" s="808"/>
      <c r="AO21" s="808"/>
      <c r="AP21" s="808"/>
      <c r="AQ21" s="808"/>
      <c r="AR21" s="808"/>
      <c r="AS21" s="808"/>
      <c r="AT21" s="808"/>
      <c r="AU21" s="808"/>
      <c r="AV21" s="808"/>
      <c r="AW21" s="808"/>
      <c r="AX21" s="808"/>
      <c r="AY21" s="808"/>
      <c r="AZ21" s="808"/>
      <c r="BA21" s="808"/>
      <c r="BB21" s="808"/>
      <c r="BC21" s="808"/>
      <c r="BD21" s="808"/>
      <c r="BE21" s="808"/>
      <c r="BF21" s="808"/>
      <c r="BG21" s="808"/>
      <c r="BH21" s="808"/>
      <c r="BI21" s="808"/>
      <c r="BJ21" s="808"/>
      <c r="BK21" s="808"/>
      <c r="BL21" s="808"/>
      <c r="BM21" s="808"/>
      <c r="BN21" s="808"/>
      <c r="BO21" s="808"/>
      <c r="BP21" s="808"/>
      <c r="BQ21" s="808"/>
      <c r="BR21" s="808"/>
      <c r="BS21" s="808"/>
      <c r="BT21" s="808"/>
      <c r="BU21" s="808"/>
      <c r="BV21" s="808"/>
      <c r="BW21" s="808"/>
      <c r="BX21" s="808"/>
      <c r="BY21" s="808"/>
      <c r="BZ21" s="808"/>
      <c r="CA21" s="808"/>
      <c r="CB21" s="808"/>
      <c r="CC21" s="808"/>
      <c r="CD21" s="808"/>
      <c r="CE21" s="808"/>
      <c r="CF21" s="808"/>
      <c r="CG21" s="808"/>
      <c r="CH21" s="808"/>
      <c r="CI21" s="808"/>
      <c r="CJ21" s="808"/>
      <c r="CK21" s="808"/>
      <c r="CL21" s="808"/>
      <c r="CM21" s="808"/>
      <c r="CN21" s="808"/>
      <c r="CO21" s="808"/>
      <c r="CP21" s="808"/>
      <c r="CQ21" s="808"/>
      <c r="CR21" s="808"/>
      <c r="CS21" s="808"/>
      <c r="CT21" s="808"/>
      <c r="CU21" s="808"/>
      <c r="CV21" s="808"/>
      <c r="CW21" s="808"/>
      <c r="CX21" s="808"/>
      <c r="CY21" s="808"/>
      <c r="CZ21" s="808"/>
      <c r="DA21" s="808"/>
      <c r="DB21" s="808"/>
      <c r="DC21" s="808"/>
      <c r="DD21" s="808"/>
      <c r="DE21" s="808"/>
      <c r="DF21" s="808"/>
      <c r="DG21" s="808"/>
      <c r="DH21" s="808"/>
      <c r="DI21" s="808"/>
      <c r="DJ21" s="808"/>
      <c r="DK21" s="808"/>
      <c r="DL21" s="808"/>
      <c r="DM21" s="808"/>
      <c r="DN21" s="808"/>
      <c r="DO21" s="808"/>
      <c r="DP21" s="808"/>
    </row>
    <row r="22" spans="1:120">
      <c r="A22" s="821"/>
      <c r="B22" s="811" t="s">
        <v>79</v>
      </c>
      <c r="C22" s="811" t="s">
        <v>5</v>
      </c>
      <c r="D22" s="812" t="s">
        <v>195</v>
      </c>
      <c r="E22" s="812" t="s">
        <v>195</v>
      </c>
      <c r="K22" s="808"/>
      <c r="M22" s="808"/>
      <c r="N22" s="808"/>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8"/>
      <c r="AM22" s="808"/>
      <c r="AN22" s="808"/>
      <c r="AO22" s="808"/>
      <c r="AP22" s="808"/>
      <c r="AQ22" s="808"/>
      <c r="AR22" s="808"/>
      <c r="AS22" s="808"/>
      <c r="AT22" s="808"/>
      <c r="AU22" s="808"/>
      <c r="AV22" s="808"/>
      <c r="AW22" s="808"/>
      <c r="AX22" s="808"/>
      <c r="AY22" s="808"/>
      <c r="AZ22" s="808"/>
      <c r="BA22" s="808"/>
      <c r="BB22" s="808"/>
      <c r="BC22" s="808"/>
      <c r="BD22" s="808"/>
      <c r="BE22" s="808"/>
      <c r="BF22" s="808"/>
      <c r="BG22" s="808"/>
      <c r="BH22" s="808"/>
      <c r="BI22" s="808"/>
      <c r="BJ22" s="808"/>
      <c r="BK22" s="808"/>
      <c r="BL22" s="808"/>
      <c r="BM22" s="808"/>
      <c r="BN22" s="808"/>
      <c r="BO22" s="808"/>
      <c r="BP22" s="808"/>
      <c r="BQ22" s="808"/>
      <c r="BR22" s="808"/>
      <c r="BS22" s="808"/>
      <c r="BT22" s="808"/>
      <c r="BU22" s="808"/>
      <c r="BV22" s="808"/>
      <c r="BW22" s="808"/>
      <c r="BX22" s="808"/>
      <c r="BY22" s="808"/>
      <c r="BZ22" s="808"/>
      <c r="CA22" s="808"/>
      <c r="CB22" s="808"/>
      <c r="CC22" s="808"/>
      <c r="CD22" s="808"/>
      <c r="CE22" s="808"/>
      <c r="CF22" s="808"/>
      <c r="CG22" s="808"/>
      <c r="CH22" s="808"/>
      <c r="CI22" s="808"/>
      <c r="CJ22" s="808"/>
      <c r="CK22" s="808"/>
      <c r="CL22" s="808"/>
      <c r="CM22" s="808"/>
      <c r="CN22" s="808"/>
      <c r="CO22" s="808"/>
      <c r="CP22" s="808"/>
      <c r="CQ22" s="808"/>
      <c r="CR22" s="808"/>
      <c r="CS22" s="808"/>
      <c r="CT22" s="808"/>
      <c r="CU22" s="808"/>
      <c r="CV22" s="808"/>
      <c r="CW22" s="808"/>
      <c r="CX22" s="808"/>
      <c r="CY22" s="808"/>
      <c r="CZ22" s="808"/>
      <c r="DA22" s="808"/>
      <c r="DB22" s="808"/>
      <c r="DC22" s="808"/>
      <c r="DD22" s="808"/>
      <c r="DE22" s="808"/>
      <c r="DF22" s="808"/>
      <c r="DG22" s="808"/>
      <c r="DH22" s="808"/>
      <c r="DI22" s="808"/>
      <c r="DJ22" s="808"/>
      <c r="DK22" s="808"/>
      <c r="DL22" s="808"/>
      <c r="DM22" s="808"/>
      <c r="DN22" s="808"/>
      <c r="DO22" s="808"/>
      <c r="DP22" s="808"/>
    </row>
    <row r="23" spans="1:120">
      <c r="A23" s="821"/>
      <c r="B23" s="813" t="s">
        <v>947</v>
      </c>
      <c r="C23" s="814" t="s">
        <v>211</v>
      </c>
      <c r="D23" s="815">
        <v>0</v>
      </c>
      <c r="E23" s="815">
        <v>0</v>
      </c>
      <c r="K23" s="808"/>
      <c r="M23" s="808"/>
      <c r="N23" s="808"/>
      <c r="O23" s="808"/>
      <c r="P23" s="808"/>
      <c r="Q23" s="808"/>
      <c r="R23" s="808"/>
      <c r="S23" s="808"/>
      <c r="T23" s="808"/>
      <c r="U23" s="808"/>
      <c r="V23" s="808"/>
      <c r="W23" s="808"/>
      <c r="X23" s="808"/>
      <c r="Y23" s="808"/>
      <c r="Z23" s="808"/>
      <c r="AA23" s="808"/>
      <c r="AB23" s="808"/>
      <c r="AC23" s="808"/>
      <c r="AD23" s="808"/>
      <c r="AE23" s="808"/>
      <c r="AF23" s="808"/>
      <c r="AG23" s="808"/>
      <c r="AH23" s="808"/>
      <c r="AI23" s="808"/>
      <c r="AJ23" s="808"/>
      <c r="AK23" s="808"/>
      <c r="AL23" s="808"/>
      <c r="AM23" s="808"/>
      <c r="AN23" s="808"/>
      <c r="AO23" s="808"/>
      <c r="AP23" s="808"/>
      <c r="AQ23" s="808"/>
      <c r="AR23" s="808"/>
      <c r="AS23" s="808"/>
      <c r="AT23" s="808"/>
      <c r="AU23" s="808"/>
      <c r="AV23" s="808"/>
      <c r="AW23" s="808"/>
      <c r="AX23" s="808"/>
      <c r="AY23" s="808"/>
      <c r="AZ23" s="808"/>
      <c r="BA23" s="808"/>
      <c r="BB23" s="808"/>
      <c r="BC23" s="808"/>
      <c r="BD23" s="808"/>
      <c r="BE23" s="808"/>
      <c r="BF23" s="808"/>
      <c r="BG23" s="808"/>
      <c r="BH23" s="808"/>
      <c r="BI23" s="808"/>
      <c r="BJ23" s="808"/>
      <c r="BK23" s="808"/>
      <c r="BL23" s="808"/>
      <c r="BM23" s="808"/>
      <c r="BN23" s="808"/>
      <c r="BO23" s="808"/>
      <c r="BP23" s="808"/>
      <c r="BQ23" s="808"/>
      <c r="BR23" s="808"/>
      <c r="BS23" s="808"/>
      <c r="BT23" s="808"/>
      <c r="BU23" s="808"/>
      <c r="BV23" s="808"/>
      <c r="BW23" s="808"/>
      <c r="BX23" s="808"/>
      <c r="BY23" s="808"/>
      <c r="BZ23" s="808"/>
      <c r="CA23" s="808"/>
      <c r="CB23" s="808"/>
      <c r="CC23" s="808"/>
      <c r="CD23" s="808"/>
      <c r="CE23" s="808"/>
      <c r="CF23" s="808"/>
      <c r="CG23" s="808"/>
      <c r="CH23" s="808"/>
      <c r="CI23" s="808"/>
      <c r="CJ23" s="808"/>
      <c r="CK23" s="808"/>
      <c r="CL23" s="808"/>
      <c r="CM23" s="808"/>
      <c r="CN23" s="808"/>
      <c r="CO23" s="808"/>
      <c r="CP23" s="808"/>
      <c r="CQ23" s="808"/>
      <c r="CR23" s="808"/>
      <c r="CS23" s="808"/>
      <c r="CT23" s="808"/>
      <c r="CU23" s="808"/>
      <c r="CV23" s="808"/>
      <c r="CW23" s="808"/>
      <c r="CX23" s="808"/>
      <c r="CY23" s="808"/>
      <c r="CZ23" s="808"/>
      <c r="DA23" s="808"/>
      <c r="DB23" s="808"/>
      <c r="DC23" s="808"/>
      <c r="DD23" s="808"/>
      <c r="DE23" s="808"/>
      <c r="DF23" s="808"/>
      <c r="DG23" s="808"/>
      <c r="DH23" s="808"/>
      <c r="DI23" s="808"/>
      <c r="DJ23" s="808"/>
      <c r="DK23" s="808"/>
      <c r="DL23" s="808"/>
      <c r="DM23" s="808"/>
      <c r="DN23" s="808"/>
      <c r="DO23" s="808"/>
      <c r="DP23" s="808"/>
    </row>
    <row r="24" spans="1:120">
      <c r="A24" s="821"/>
      <c r="B24" s="813" t="s">
        <v>950</v>
      </c>
      <c r="C24" s="814" t="s">
        <v>212</v>
      </c>
      <c r="D24" s="815">
        <v>0</v>
      </c>
      <c r="E24" s="815">
        <v>0</v>
      </c>
      <c r="K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808"/>
      <c r="BA24" s="808"/>
      <c r="BB24" s="808"/>
      <c r="BC24" s="808"/>
      <c r="BD24" s="808"/>
      <c r="BE24" s="808"/>
      <c r="BF24" s="808"/>
      <c r="BG24" s="808"/>
      <c r="BH24" s="808"/>
      <c r="BI24" s="808"/>
      <c r="BJ24" s="808"/>
      <c r="BK24" s="808"/>
      <c r="BL24" s="808"/>
      <c r="BM24" s="808"/>
      <c r="BN24" s="808"/>
      <c r="BO24" s="808"/>
      <c r="BP24" s="808"/>
      <c r="BQ24" s="808"/>
      <c r="BR24" s="808"/>
      <c r="BS24" s="808"/>
      <c r="BT24" s="808"/>
      <c r="BU24" s="808"/>
      <c r="BV24" s="808"/>
      <c r="BW24" s="808"/>
      <c r="BX24" s="808"/>
      <c r="BY24" s="808"/>
      <c r="BZ24" s="808"/>
      <c r="CA24" s="808"/>
      <c r="CB24" s="808"/>
      <c r="CC24" s="808"/>
      <c r="CD24" s="808"/>
      <c r="CE24" s="808"/>
      <c r="CF24" s="808"/>
      <c r="CG24" s="808"/>
      <c r="CH24" s="808"/>
      <c r="CI24" s="808"/>
      <c r="CJ24" s="808"/>
      <c r="CK24" s="808"/>
      <c r="CL24" s="808"/>
      <c r="CM24" s="808"/>
      <c r="CN24" s="808"/>
      <c r="CO24" s="808"/>
      <c r="CP24" s="808"/>
      <c r="CQ24" s="808"/>
      <c r="CR24" s="808"/>
      <c r="CS24" s="808"/>
      <c r="CT24" s="808"/>
      <c r="CU24" s="808"/>
      <c r="CV24" s="808"/>
      <c r="CW24" s="808"/>
      <c r="CX24" s="808"/>
      <c r="CY24" s="808"/>
      <c r="CZ24" s="808"/>
      <c r="DA24" s="808"/>
      <c r="DB24" s="808"/>
      <c r="DC24" s="808"/>
      <c r="DD24" s="808"/>
      <c r="DE24" s="808"/>
      <c r="DF24" s="808"/>
      <c r="DG24" s="808"/>
      <c r="DH24" s="808"/>
      <c r="DI24" s="808"/>
      <c r="DJ24" s="808"/>
      <c r="DK24" s="808"/>
      <c r="DL24" s="808"/>
      <c r="DM24" s="808"/>
      <c r="DN24" s="808"/>
      <c r="DO24" s="808"/>
      <c r="DP24" s="808"/>
    </row>
    <row r="25" spans="1:120">
      <c r="A25" s="821"/>
      <c r="B25" s="813" t="s">
        <v>961</v>
      </c>
      <c r="C25" s="814" t="s">
        <v>213</v>
      </c>
      <c r="D25" s="815">
        <v>18094.8</v>
      </c>
      <c r="E25" s="815" t="e">
        <f>+#REF!/1000</f>
        <v>#REF!</v>
      </c>
      <c r="K25" s="808"/>
      <c r="M25" s="808"/>
      <c r="N25" s="808"/>
      <c r="O25" s="808"/>
      <c r="P25" s="808"/>
      <c r="Q25" s="808"/>
      <c r="R25" s="808"/>
      <c r="S25" s="808"/>
      <c r="T25" s="808"/>
      <c r="U25" s="808"/>
      <c r="V25" s="808"/>
      <c r="W25" s="808"/>
      <c r="X25" s="808"/>
      <c r="Y25" s="808"/>
      <c r="Z25" s="808"/>
      <c r="AA25" s="808"/>
      <c r="AB25" s="808"/>
      <c r="AC25" s="808"/>
      <c r="AD25" s="808"/>
      <c r="AE25" s="808"/>
      <c r="AF25" s="808"/>
      <c r="AG25" s="808"/>
      <c r="AH25" s="808"/>
      <c r="AI25" s="808"/>
      <c r="AJ25" s="808"/>
      <c r="AK25" s="808"/>
      <c r="AL25" s="808"/>
      <c r="AM25" s="808"/>
      <c r="AN25" s="808"/>
      <c r="AO25" s="808"/>
      <c r="AP25" s="808"/>
      <c r="AQ25" s="808"/>
      <c r="AR25" s="808"/>
      <c r="AS25" s="808"/>
      <c r="AT25" s="808"/>
      <c r="AU25" s="808"/>
      <c r="AV25" s="808"/>
      <c r="AW25" s="808"/>
      <c r="AX25" s="808"/>
      <c r="AY25" s="808"/>
      <c r="AZ25" s="808"/>
      <c r="BA25" s="808"/>
      <c r="BB25" s="808"/>
      <c r="BC25" s="808"/>
      <c r="BD25" s="808"/>
      <c r="BE25" s="808"/>
      <c r="BF25" s="808"/>
      <c r="BG25" s="808"/>
      <c r="BH25" s="808"/>
      <c r="BI25" s="808"/>
      <c r="BJ25" s="808"/>
      <c r="BK25" s="808"/>
      <c r="BL25" s="808"/>
      <c r="BM25" s="808"/>
      <c r="BN25" s="808"/>
      <c r="BO25" s="808"/>
      <c r="BP25" s="808"/>
      <c r="BQ25" s="808"/>
      <c r="BR25" s="808"/>
      <c r="BS25" s="808"/>
      <c r="BT25" s="808"/>
      <c r="BU25" s="808"/>
      <c r="BV25" s="808"/>
      <c r="BW25" s="808"/>
      <c r="BX25" s="808"/>
      <c r="BY25" s="808"/>
      <c r="BZ25" s="808"/>
      <c r="CA25" s="808"/>
      <c r="CB25" s="808"/>
      <c r="CC25" s="808"/>
      <c r="CD25" s="808"/>
      <c r="CE25" s="808"/>
      <c r="CF25" s="808"/>
      <c r="CG25" s="808"/>
      <c r="CH25" s="808"/>
      <c r="CI25" s="808"/>
      <c r="CJ25" s="808"/>
      <c r="CK25" s="808"/>
      <c r="CL25" s="808"/>
      <c r="CM25" s="808"/>
      <c r="CN25" s="808"/>
      <c r="CO25" s="808"/>
      <c r="CP25" s="808"/>
      <c r="CQ25" s="808"/>
      <c r="CR25" s="808"/>
      <c r="CS25" s="808"/>
      <c r="CT25" s="808"/>
      <c r="CU25" s="808"/>
      <c r="CV25" s="808"/>
      <c r="CW25" s="808"/>
      <c r="CX25" s="808"/>
      <c r="CY25" s="808"/>
      <c r="CZ25" s="808"/>
      <c r="DA25" s="808"/>
      <c r="DB25" s="808"/>
      <c r="DC25" s="808"/>
      <c r="DD25" s="808"/>
      <c r="DE25" s="808"/>
      <c r="DF25" s="808"/>
      <c r="DG25" s="808"/>
      <c r="DH25" s="808"/>
      <c r="DI25" s="808"/>
      <c r="DJ25" s="808"/>
      <c r="DK25" s="808"/>
      <c r="DL25" s="808"/>
      <c r="DM25" s="808"/>
      <c r="DN25" s="808"/>
      <c r="DO25" s="808"/>
      <c r="DP25" s="808"/>
    </row>
    <row r="26" spans="1:120">
      <c r="A26" s="821"/>
      <c r="B26" s="813" t="s">
        <v>962</v>
      </c>
      <c r="C26" s="814" t="s">
        <v>231</v>
      </c>
      <c r="D26" s="815">
        <v>0</v>
      </c>
      <c r="E26" s="815" t="e">
        <f>+#REF!/1000</f>
        <v>#REF!</v>
      </c>
      <c r="K26" s="808"/>
      <c r="M26" s="808"/>
      <c r="N26" s="808"/>
      <c r="O26" s="808"/>
      <c r="P26" s="808"/>
      <c r="Q26" s="808"/>
      <c r="R26" s="808"/>
      <c r="S26" s="808"/>
      <c r="T26" s="808"/>
      <c r="U26" s="808"/>
      <c r="V26" s="808"/>
      <c r="W26" s="808"/>
      <c r="X26" s="808"/>
      <c r="Y26" s="808"/>
      <c r="Z26" s="808"/>
      <c r="AA26" s="808"/>
      <c r="AB26" s="808"/>
      <c r="AC26" s="808"/>
      <c r="AD26" s="808"/>
      <c r="AE26" s="808"/>
      <c r="AF26" s="808"/>
      <c r="AG26" s="808"/>
      <c r="AH26" s="808"/>
      <c r="AI26" s="808"/>
      <c r="AJ26" s="808"/>
      <c r="AK26" s="808"/>
      <c r="AL26" s="808"/>
      <c r="AM26" s="808"/>
      <c r="AN26" s="808"/>
      <c r="AO26" s="808"/>
      <c r="AP26" s="808"/>
      <c r="AQ26" s="808"/>
      <c r="AR26" s="808"/>
      <c r="AS26" s="808"/>
      <c r="AT26" s="808"/>
      <c r="AU26" s="808"/>
      <c r="AV26" s="808"/>
      <c r="AW26" s="808"/>
      <c r="AX26" s="808"/>
      <c r="AY26" s="808"/>
      <c r="AZ26" s="808"/>
      <c r="BA26" s="808"/>
      <c r="BB26" s="808"/>
      <c r="BC26" s="808"/>
      <c r="BD26" s="808"/>
      <c r="BE26" s="808"/>
      <c r="BF26" s="808"/>
      <c r="BG26" s="808"/>
      <c r="BH26" s="808"/>
      <c r="BI26" s="808"/>
      <c r="BJ26" s="808"/>
      <c r="BK26" s="808"/>
      <c r="BL26" s="808"/>
      <c r="BM26" s="808"/>
      <c r="BN26" s="808"/>
      <c r="BO26" s="808"/>
      <c r="BP26" s="808"/>
      <c r="BQ26" s="808"/>
      <c r="BR26" s="808"/>
      <c r="BS26" s="808"/>
      <c r="BT26" s="808"/>
      <c r="BU26" s="808"/>
      <c r="BV26" s="808"/>
      <c r="BW26" s="808"/>
      <c r="BX26" s="808"/>
      <c r="BY26" s="808"/>
      <c r="BZ26" s="808"/>
      <c r="CA26" s="808"/>
      <c r="CB26" s="808"/>
      <c r="CC26" s="808"/>
      <c r="CD26" s="808"/>
      <c r="CE26" s="808"/>
      <c r="CF26" s="808"/>
      <c r="CG26" s="808"/>
      <c r="CH26" s="808"/>
      <c r="CI26" s="808"/>
      <c r="CJ26" s="808"/>
      <c r="CK26" s="808"/>
      <c r="CL26" s="808"/>
      <c r="CM26" s="808"/>
      <c r="CN26" s="808"/>
      <c r="CO26" s="808"/>
      <c r="CP26" s="808"/>
      <c r="CQ26" s="808"/>
      <c r="CR26" s="808"/>
      <c r="CS26" s="808"/>
      <c r="CT26" s="808"/>
      <c r="CU26" s="808"/>
      <c r="CV26" s="808"/>
      <c r="CW26" s="808"/>
      <c r="CX26" s="808"/>
      <c r="CY26" s="808"/>
      <c r="CZ26" s="808"/>
      <c r="DA26" s="808"/>
      <c r="DB26" s="808"/>
      <c r="DC26" s="808"/>
      <c r="DD26" s="808"/>
      <c r="DE26" s="808"/>
      <c r="DF26" s="808"/>
      <c r="DG26" s="808"/>
      <c r="DH26" s="808"/>
      <c r="DI26" s="808"/>
      <c r="DJ26" s="808"/>
      <c r="DK26" s="808"/>
      <c r="DL26" s="808"/>
      <c r="DM26" s="808"/>
      <c r="DN26" s="808"/>
      <c r="DO26" s="808"/>
      <c r="DP26" s="808"/>
    </row>
    <row r="27" spans="1:120">
      <c r="A27" s="821"/>
      <c r="B27" s="813" t="s">
        <v>1201</v>
      </c>
      <c r="C27" s="816" t="s">
        <v>82</v>
      </c>
      <c r="D27" s="815">
        <f>+D25</f>
        <v>18094.8</v>
      </c>
      <c r="E27" s="815" t="e">
        <f>SUM(E23:E26)</f>
        <v>#REF!</v>
      </c>
      <c r="K27" s="808"/>
      <c r="M27" s="808"/>
      <c r="N27" s="808"/>
      <c r="O27" s="808"/>
      <c r="P27" s="808"/>
      <c r="Q27" s="808"/>
      <c r="R27" s="808"/>
      <c r="S27" s="808"/>
      <c r="T27" s="808"/>
      <c r="U27" s="808"/>
      <c r="V27" s="808"/>
      <c r="W27" s="808"/>
      <c r="X27" s="808"/>
      <c r="Y27" s="808"/>
      <c r="Z27" s="808"/>
      <c r="AA27" s="808"/>
      <c r="AB27" s="808"/>
      <c r="AC27" s="808"/>
      <c r="AD27" s="808"/>
      <c r="AE27" s="808"/>
      <c r="AF27" s="808"/>
      <c r="AG27" s="808"/>
      <c r="AH27" s="808"/>
      <c r="AI27" s="808"/>
      <c r="AJ27" s="808"/>
      <c r="AK27" s="808"/>
      <c r="AL27" s="808"/>
      <c r="AM27" s="808"/>
      <c r="AN27" s="808"/>
      <c r="AO27" s="808"/>
      <c r="AP27" s="808"/>
      <c r="AQ27" s="808"/>
      <c r="AR27" s="808"/>
      <c r="AS27" s="808"/>
      <c r="AT27" s="808"/>
      <c r="AU27" s="808"/>
      <c r="AV27" s="808"/>
      <c r="AW27" s="808"/>
      <c r="AX27" s="808"/>
      <c r="AY27" s="808"/>
      <c r="AZ27" s="808"/>
      <c r="BA27" s="808"/>
      <c r="BB27" s="808"/>
      <c r="BC27" s="808"/>
      <c r="BD27" s="808"/>
      <c r="BE27" s="808"/>
      <c r="BF27" s="808"/>
      <c r="BG27" s="808"/>
      <c r="BH27" s="808"/>
      <c r="BI27" s="808"/>
      <c r="BJ27" s="808"/>
      <c r="BK27" s="808"/>
      <c r="BL27" s="808"/>
      <c r="BM27" s="808"/>
      <c r="BN27" s="808"/>
      <c r="BO27" s="808"/>
      <c r="BP27" s="808"/>
      <c r="BQ27" s="808"/>
      <c r="BR27" s="808"/>
      <c r="BS27" s="808"/>
      <c r="BT27" s="808"/>
      <c r="BU27" s="808"/>
      <c r="BV27" s="808"/>
      <c r="BW27" s="808"/>
      <c r="BX27" s="808"/>
      <c r="BY27" s="808"/>
      <c r="BZ27" s="808"/>
      <c r="CA27" s="808"/>
      <c r="CB27" s="808"/>
      <c r="CC27" s="808"/>
      <c r="CD27" s="808"/>
      <c r="CE27" s="808"/>
      <c r="CF27" s="808"/>
      <c r="CG27" s="808"/>
      <c r="CH27" s="808"/>
      <c r="CI27" s="808"/>
      <c r="CJ27" s="808"/>
      <c r="CK27" s="808"/>
      <c r="CL27" s="808"/>
      <c r="CM27" s="808"/>
      <c r="CN27" s="808"/>
      <c r="CO27" s="808"/>
      <c r="CP27" s="808"/>
      <c r="CQ27" s="808"/>
      <c r="CR27" s="808"/>
      <c r="CS27" s="808"/>
      <c r="CT27" s="808"/>
      <c r="CU27" s="808"/>
      <c r="CV27" s="808"/>
      <c r="CW27" s="808"/>
      <c r="CX27" s="808"/>
      <c r="CY27" s="808"/>
      <c r="CZ27" s="808"/>
      <c r="DA27" s="808"/>
      <c r="DB27" s="808"/>
      <c r="DC27" s="808"/>
      <c r="DD27" s="808"/>
      <c r="DE27" s="808"/>
      <c r="DF27" s="808"/>
      <c r="DG27" s="808"/>
      <c r="DH27" s="808"/>
      <c r="DI27" s="808"/>
      <c r="DJ27" s="808"/>
      <c r="DK27" s="808"/>
      <c r="DL27" s="808"/>
      <c r="DM27" s="808"/>
      <c r="DN27" s="808"/>
      <c r="DO27" s="808"/>
      <c r="DP27" s="808"/>
    </row>
    <row r="28" spans="1:120">
      <c r="A28" s="821"/>
      <c r="B28" s="809" t="s">
        <v>1213</v>
      </c>
      <c r="C28" s="808"/>
      <c r="D28" s="214">
        <f>+D27-balance!C11/1000</f>
        <v>-915281.82947749982</v>
      </c>
      <c r="E28" s="214" t="e">
        <f>+E27-balance!D11/1000</f>
        <v>#REF!</v>
      </c>
      <c r="K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808"/>
      <c r="AN28" s="808"/>
      <c r="AO28" s="808"/>
      <c r="AP28" s="808"/>
      <c r="AQ28" s="808"/>
      <c r="AR28" s="808"/>
      <c r="AS28" s="808"/>
      <c r="AT28" s="808"/>
      <c r="AU28" s="808"/>
      <c r="AV28" s="808"/>
      <c r="AW28" s="808"/>
      <c r="AX28" s="808"/>
      <c r="AY28" s="808"/>
      <c r="AZ28" s="808"/>
      <c r="BA28" s="808"/>
      <c r="BB28" s="808"/>
      <c r="BC28" s="808"/>
      <c r="BD28" s="808"/>
      <c r="BE28" s="808"/>
      <c r="BF28" s="808"/>
      <c r="BG28" s="808"/>
      <c r="BH28" s="808"/>
      <c r="BI28" s="808"/>
      <c r="BJ28" s="808"/>
      <c r="BK28" s="808"/>
      <c r="BL28" s="808"/>
      <c r="BM28" s="808"/>
      <c r="BN28" s="808"/>
      <c r="BO28" s="808"/>
      <c r="BP28" s="808"/>
      <c r="BQ28" s="808"/>
      <c r="BR28" s="808"/>
      <c r="BS28" s="808"/>
      <c r="BT28" s="808"/>
      <c r="BU28" s="808"/>
      <c r="BV28" s="808"/>
      <c r="BW28" s="808"/>
      <c r="BX28" s="808"/>
      <c r="BY28" s="808"/>
      <c r="BZ28" s="808"/>
      <c r="CA28" s="808"/>
      <c r="CB28" s="808"/>
      <c r="CC28" s="808"/>
      <c r="CD28" s="808"/>
      <c r="CE28" s="808"/>
      <c r="CF28" s="808"/>
      <c r="CG28" s="808"/>
      <c r="CH28" s="808"/>
      <c r="CI28" s="808"/>
      <c r="CJ28" s="808"/>
      <c r="CK28" s="808"/>
      <c r="CL28" s="808"/>
      <c r="CM28" s="808"/>
      <c r="CN28" s="808"/>
      <c r="CO28" s="808"/>
      <c r="CP28" s="808"/>
      <c r="CQ28" s="808"/>
      <c r="CR28" s="808"/>
      <c r="CS28" s="808"/>
      <c r="CT28" s="808"/>
      <c r="CU28" s="808"/>
      <c r="CV28" s="808"/>
      <c r="CW28" s="808"/>
      <c r="CX28" s="808"/>
      <c r="CY28" s="808"/>
      <c r="CZ28" s="808"/>
      <c r="DA28" s="808"/>
      <c r="DB28" s="808"/>
      <c r="DC28" s="808"/>
      <c r="DD28" s="808"/>
      <c r="DE28" s="808"/>
      <c r="DF28" s="808"/>
      <c r="DG28" s="808"/>
      <c r="DH28" s="808"/>
      <c r="DI28" s="808"/>
      <c r="DJ28" s="808"/>
      <c r="DK28" s="808"/>
      <c r="DL28" s="808"/>
      <c r="DM28" s="808"/>
      <c r="DN28" s="808"/>
      <c r="DO28" s="808"/>
      <c r="DP28" s="808"/>
    </row>
    <row r="29" spans="1:120">
      <c r="A29" s="821"/>
      <c r="B29" s="807"/>
      <c r="C29" s="808"/>
      <c r="E29" s="810" t="s">
        <v>1203</v>
      </c>
      <c r="K29" s="808"/>
      <c r="M29" s="808"/>
      <c r="N29" s="808"/>
      <c r="O29" s="808"/>
      <c r="P29" s="808"/>
      <c r="Q29" s="808"/>
      <c r="R29" s="808"/>
      <c r="S29" s="808"/>
      <c r="T29" s="808"/>
      <c r="U29" s="808"/>
      <c r="V29" s="808"/>
      <c r="W29" s="808"/>
      <c r="X29" s="808"/>
      <c r="Y29" s="808"/>
      <c r="Z29" s="808"/>
      <c r="AA29" s="808"/>
      <c r="AB29" s="808"/>
      <c r="AC29" s="808"/>
      <c r="AD29" s="808"/>
      <c r="AE29" s="808"/>
      <c r="AF29" s="808"/>
      <c r="AG29" s="808"/>
      <c r="AH29" s="808"/>
      <c r="AI29" s="808"/>
      <c r="AJ29" s="808"/>
      <c r="AK29" s="808"/>
      <c r="AL29" s="808"/>
      <c r="AM29" s="808"/>
      <c r="AN29" s="808"/>
      <c r="AO29" s="808"/>
      <c r="AP29" s="808"/>
      <c r="AQ29" s="808"/>
      <c r="AR29" s="808"/>
      <c r="AS29" s="808"/>
      <c r="AT29" s="808"/>
      <c r="AU29" s="808"/>
      <c r="AV29" s="808"/>
      <c r="AW29" s="808"/>
      <c r="AX29" s="808"/>
      <c r="AY29" s="808"/>
      <c r="AZ29" s="808"/>
      <c r="BA29" s="808"/>
      <c r="BB29" s="808"/>
      <c r="BC29" s="808"/>
      <c r="BD29" s="808"/>
      <c r="BE29" s="808"/>
      <c r="BF29" s="808"/>
      <c r="BG29" s="808"/>
      <c r="BH29" s="808"/>
      <c r="BI29" s="808"/>
      <c r="BJ29" s="808"/>
      <c r="BK29" s="808"/>
      <c r="BL29" s="808"/>
      <c r="BM29" s="808"/>
      <c r="BN29" s="808"/>
      <c r="BO29" s="808"/>
      <c r="BP29" s="808"/>
      <c r="BQ29" s="808"/>
      <c r="BR29" s="808"/>
      <c r="BS29" s="808"/>
      <c r="BT29" s="808"/>
      <c r="BU29" s="808"/>
      <c r="BV29" s="808"/>
      <c r="BW29" s="808"/>
      <c r="BX29" s="808"/>
      <c r="BY29" s="808"/>
      <c r="BZ29" s="808"/>
      <c r="CA29" s="808"/>
      <c r="CB29" s="808"/>
      <c r="CC29" s="808"/>
      <c r="CD29" s="808"/>
      <c r="CE29" s="808"/>
      <c r="CF29" s="808"/>
      <c r="CG29" s="808"/>
      <c r="CH29" s="808"/>
      <c r="CI29" s="808"/>
      <c r="CJ29" s="808"/>
      <c r="CK29" s="808"/>
      <c r="CL29" s="808"/>
      <c r="CM29" s="808"/>
      <c r="CN29" s="808"/>
      <c r="CO29" s="808"/>
      <c r="CP29" s="808"/>
      <c r="CQ29" s="808"/>
      <c r="CR29" s="808"/>
      <c r="CS29" s="808"/>
      <c r="CT29" s="808"/>
      <c r="CU29" s="808"/>
      <c r="CV29" s="808"/>
      <c r="CW29" s="808"/>
      <c r="CX29" s="808"/>
      <c r="CY29" s="808"/>
      <c r="CZ29" s="808"/>
      <c r="DA29" s="808"/>
      <c r="DB29" s="808"/>
      <c r="DC29" s="808"/>
      <c r="DD29" s="808"/>
      <c r="DE29" s="808"/>
      <c r="DF29" s="808"/>
      <c r="DG29" s="808"/>
      <c r="DH29" s="808"/>
      <c r="DI29" s="808"/>
      <c r="DJ29" s="808"/>
      <c r="DK29" s="808"/>
      <c r="DL29" s="808"/>
      <c r="DM29" s="808"/>
      <c r="DN29" s="808"/>
      <c r="DO29" s="808"/>
      <c r="DP29" s="808"/>
    </row>
    <row r="30" spans="1:120">
      <c r="A30" s="821"/>
      <c r="B30" s="811" t="s">
        <v>79</v>
      </c>
      <c r="C30" s="811" t="s">
        <v>5</v>
      </c>
      <c r="D30" s="812" t="s">
        <v>195</v>
      </c>
      <c r="E30" s="812" t="s">
        <v>195</v>
      </c>
      <c r="K30" s="808"/>
      <c r="M30" s="808"/>
      <c r="N30" s="808"/>
      <c r="O30" s="808"/>
      <c r="P30" s="808"/>
      <c r="Q30" s="808"/>
      <c r="R30" s="808"/>
      <c r="S30" s="808"/>
      <c r="T30" s="808"/>
      <c r="U30" s="808"/>
      <c r="V30" s="808"/>
      <c r="W30" s="808"/>
      <c r="X30" s="808"/>
      <c r="Y30" s="808"/>
      <c r="Z30" s="808"/>
      <c r="AA30" s="808"/>
      <c r="AB30" s="808"/>
      <c r="AC30" s="808"/>
      <c r="AD30" s="808"/>
      <c r="AE30" s="808"/>
      <c r="AF30" s="808"/>
      <c r="AG30" s="808"/>
      <c r="AH30" s="808"/>
      <c r="AI30" s="808"/>
      <c r="AJ30" s="808"/>
      <c r="AK30" s="808"/>
      <c r="AL30" s="808"/>
      <c r="AM30" s="808"/>
      <c r="AN30" s="808"/>
      <c r="AO30" s="808"/>
      <c r="AP30" s="808"/>
      <c r="AQ30" s="808"/>
      <c r="AR30" s="808"/>
      <c r="AS30" s="808"/>
      <c r="AT30" s="808"/>
      <c r="AU30" s="808"/>
      <c r="AV30" s="808"/>
      <c r="AW30" s="808"/>
      <c r="AX30" s="808"/>
      <c r="AY30" s="808"/>
      <c r="AZ30" s="808"/>
      <c r="BA30" s="808"/>
      <c r="BB30" s="808"/>
      <c r="BC30" s="808"/>
      <c r="BD30" s="808"/>
      <c r="BE30" s="808"/>
      <c r="BF30" s="808"/>
      <c r="BG30" s="808"/>
      <c r="BH30" s="808"/>
      <c r="BI30" s="808"/>
      <c r="BJ30" s="808"/>
      <c r="BK30" s="808"/>
      <c r="BL30" s="808"/>
      <c r="BM30" s="808"/>
      <c r="BN30" s="808"/>
      <c r="BO30" s="808"/>
      <c r="BP30" s="808"/>
      <c r="BQ30" s="808"/>
      <c r="BR30" s="808"/>
      <c r="BS30" s="808"/>
      <c r="BT30" s="808"/>
      <c r="BU30" s="808"/>
      <c r="BV30" s="808"/>
      <c r="BW30" s="808"/>
      <c r="BX30" s="808"/>
      <c r="BY30" s="808"/>
      <c r="BZ30" s="808"/>
      <c r="CA30" s="808"/>
      <c r="CB30" s="808"/>
      <c r="CC30" s="808"/>
      <c r="CD30" s="808"/>
      <c r="CE30" s="808"/>
      <c r="CF30" s="808"/>
      <c r="CG30" s="808"/>
      <c r="CH30" s="808"/>
      <c r="CI30" s="808"/>
      <c r="CJ30" s="808"/>
      <c r="CK30" s="808"/>
      <c r="CL30" s="808"/>
      <c r="CM30" s="808"/>
      <c r="CN30" s="808"/>
      <c r="CO30" s="808"/>
      <c r="CP30" s="808"/>
      <c r="CQ30" s="808"/>
      <c r="CR30" s="808"/>
      <c r="CS30" s="808"/>
      <c r="CT30" s="808"/>
      <c r="CU30" s="808"/>
      <c r="CV30" s="808"/>
      <c r="CW30" s="808"/>
      <c r="CX30" s="808"/>
      <c r="CY30" s="808"/>
      <c r="CZ30" s="808"/>
      <c r="DA30" s="808"/>
      <c r="DB30" s="808"/>
      <c r="DC30" s="808"/>
      <c r="DD30" s="808"/>
      <c r="DE30" s="808"/>
      <c r="DF30" s="808"/>
      <c r="DG30" s="808"/>
      <c r="DH30" s="808"/>
      <c r="DI30" s="808"/>
      <c r="DJ30" s="808"/>
      <c r="DK30" s="808"/>
      <c r="DL30" s="808"/>
      <c r="DM30" s="808"/>
      <c r="DN30" s="808"/>
      <c r="DO30" s="808"/>
      <c r="DP30" s="808"/>
    </row>
    <row r="31" spans="1:120" ht="26.4">
      <c r="A31" s="821"/>
      <c r="B31" s="813" t="s">
        <v>947</v>
      </c>
      <c r="C31" s="814" t="s">
        <v>1214</v>
      </c>
      <c r="D31" s="815">
        <v>7909.1</v>
      </c>
      <c r="E31" s="815">
        <v>500</v>
      </c>
      <c r="K31" s="808"/>
      <c r="M31" s="808"/>
      <c r="N31" s="808"/>
      <c r="O31" s="808"/>
      <c r="P31" s="808"/>
      <c r="Q31" s="808"/>
      <c r="R31" s="808"/>
      <c r="S31" s="808"/>
      <c r="T31" s="808"/>
      <c r="U31" s="808"/>
      <c r="V31" s="808"/>
      <c r="W31" s="808"/>
      <c r="X31" s="808"/>
      <c r="Y31" s="808"/>
      <c r="Z31" s="808"/>
      <c r="AA31" s="808"/>
      <c r="AB31" s="808"/>
      <c r="AC31" s="808"/>
      <c r="AD31" s="808"/>
      <c r="AE31" s="808"/>
      <c r="AF31" s="808"/>
      <c r="AG31" s="808"/>
      <c r="AH31" s="808"/>
      <c r="AI31" s="808"/>
      <c r="AJ31" s="808"/>
      <c r="AK31" s="808"/>
      <c r="AL31" s="808"/>
      <c r="AM31" s="808"/>
      <c r="AN31" s="808"/>
      <c r="AO31" s="808"/>
      <c r="AP31" s="808"/>
      <c r="AQ31" s="808"/>
      <c r="AR31" s="808"/>
      <c r="AS31" s="808"/>
      <c r="AT31" s="808"/>
      <c r="AU31" s="808"/>
      <c r="AV31" s="808"/>
      <c r="AW31" s="808"/>
      <c r="AX31" s="808"/>
      <c r="AY31" s="808"/>
      <c r="AZ31" s="808"/>
      <c r="BA31" s="808"/>
      <c r="BB31" s="808"/>
      <c r="BC31" s="808"/>
      <c r="BD31" s="808"/>
      <c r="BE31" s="808"/>
      <c r="BF31" s="808"/>
      <c r="BG31" s="808"/>
      <c r="BH31" s="808"/>
      <c r="BI31" s="808"/>
      <c r="BJ31" s="808"/>
      <c r="BK31" s="808"/>
      <c r="BL31" s="808"/>
      <c r="BM31" s="808"/>
      <c r="BN31" s="808"/>
      <c r="BO31" s="808"/>
      <c r="BP31" s="808"/>
      <c r="BQ31" s="808"/>
      <c r="BR31" s="808"/>
      <c r="BS31" s="808"/>
      <c r="BT31" s="808"/>
      <c r="BU31" s="808"/>
      <c r="BV31" s="808"/>
      <c r="BW31" s="808"/>
      <c r="BX31" s="808"/>
      <c r="BY31" s="808"/>
      <c r="BZ31" s="808"/>
      <c r="CA31" s="808"/>
      <c r="CB31" s="808"/>
      <c r="CC31" s="808"/>
      <c r="CD31" s="808"/>
      <c r="CE31" s="808"/>
      <c r="CF31" s="808"/>
      <c r="CG31" s="808"/>
      <c r="CH31" s="808"/>
      <c r="CI31" s="808"/>
      <c r="CJ31" s="808"/>
      <c r="CK31" s="808"/>
      <c r="CL31" s="808"/>
      <c r="CM31" s="808"/>
      <c r="CN31" s="808"/>
      <c r="CO31" s="808"/>
      <c r="CP31" s="808"/>
      <c r="CQ31" s="808"/>
      <c r="CR31" s="808"/>
      <c r="CS31" s="808"/>
      <c r="CT31" s="808"/>
      <c r="CU31" s="808"/>
      <c r="CV31" s="808"/>
      <c r="CW31" s="808"/>
      <c r="CX31" s="808"/>
      <c r="CY31" s="808"/>
      <c r="CZ31" s="808"/>
      <c r="DA31" s="808"/>
      <c r="DB31" s="808"/>
      <c r="DC31" s="808"/>
      <c r="DD31" s="808"/>
      <c r="DE31" s="808"/>
      <c r="DF31" s="808"/>
      <c r="DG31" s="808"/>
      <c r="DH31" s="808"/>
      <c r="DI31" s="808"/>
      <c r="DJ31" s="808"/>
      <c r="DK31" s="808"/>
      <c r="DL31" s="808"/>
      <c r="DM31" s="808"/>
      <c r="DN31" s="808"/>
      <c r="DO31" s="808"/>
      <c r="DP31" s="808"/>
    </row>
    <row r="32" spans="1:120">
      <c r="A32" s="821"/>
      <c r="B32" s="813" t="s">
        <v>950</v>
      </c>
      <c r="C32" s="814" t="s">
        <v>1215</v>
      </c>
      <c r="D32" s="815">
        <v>0</v>
      </c>
      <c r="E32" s="815">
        <v>0</v>
      </c>
      <c r="K32" s="808"/>
      <c r="M32" s="808"/>
      <c r="N32" s="808"/>
      <c r="O32" s="808"/>
      <c r="P32" s="808"/>
      <c r="Q32" s="808"/>
      <c r="R32" s="808"/>
      <c r="S32" s="808"/>
      <c r="T32" s="808"/>
      <c r="U32" s="808"/>
      <c r="V32" s="808"/>
      <c r="W32" s="808"/>
      <c r="X32" s="808"/>
      <c r="Y32" s="808"/>
      <c r="Z32" s="808"/>
      <c r="AA32" s="808"/>
      <c r="AB32" s="808"/>
      <c r="AC32" s="808"/>
      <c r="AD32" s="808"/>
      <c r="AE32" s="808"/>
      <c r="AF32" s="808"/>
      <c r="AG32" s="808"/>
      <c r="AH32" s="808"/>
      <c r="AI32" s="808"/>
      <c r="AJ32" s="808"/>
      <c r="AK32" s="808"/>
      <c r="AL32" s="808"/>
      <c r="AM32" s="808"/>
      <c r="AN32" s="808"/>
      <c r="AO32" s="808"/>
      <c r="AP32" s="808"/>
      <c r="AQ32" s="808"/>
      <c r="AR32" s="808"/>
      <c r="AS32" s="808"/>
      <c r="AT32" s="808"/>
      <c r="AU32" s="808"/>
      <c r="AV32" s="808"/>
      <c r="AW32" s="808"/>
      <c r="AX32" s="808"/>
      <c r="AY32" s="808"/>
      <c r="AZ32" s="808"/>
      <c r="BA32" s="808"/>
      <c r="BB32" s="808"/>
      <c r="BC32" s="808"/>
      <c r="BD32" s="808"/>
      <c r="BE32" s="808"/>
      <c r="BF32" s="808"/>
      <c r="BG32" s="808"/>
      <c r="BH32" s="808"/>
      <c r="BI32" s="808"/>
      <c r="BJ32" s="808"/>
      <c r="BK32" s="808"/>
      <c r="BL32" s="808"/>
      <c r="BM32" s="808"/>
      <c r="BN32" s="808"/>
      <c r="BO32" s="808"/>
      <c r="BP32" s="808"/>
      <c r="BQ32" s="808"/>
      <c r="BR32" s="808"/>
      <c r="BS32" s="808"/>
      <c r="BT32" s="808"/>
      <c r="BU32" s="808"/>
      <c r="BV32" s="808"/>
      <c r="BW32" s="808"/>
      <c r="BX32" s="808"/>
      <c r="BY32" s="808"/>
      <c r="BZ32" s="808"/>
      <c r="CA32" s="808"/>
      <c r="CB32" s="808"/>
      <c r="CC32" s="808"/>
      <c r="CD32" s="808"/>
      <c r="CE32" s="808"/>
      <c r="CF32" s="808"/>
      <c r="CG32" s="808"/>
      <c r="CH32" s="808"/>
      <c r="CI32" s="808"/>
      <c r="CJ32" s="808"/>
      <c r="CK32" s="808"/>
      <c r="CL32" s="808"/>
      <c r="CM32" s="808"/>
      <c r="CN32" s="808"/>
      <c r="CO32" s="808"/>
      <c r="CP32" s="808"/>
      <c r="CQ32" s="808"/>
      <c r="CR32" s="808"/>
      <c r="CS32" s="808"/>
      <c r="CT32" s="808"/>
      <c r="CU32" s="808"/>
      <c r="CV32" s="808"/>
      <c r="CW32" s="808"/>
      <c r="CX32" s="808"/>
      <c r="CY32" s="808"/>
      <c r="CZ32" s="808"/>
      <c r="DA32" s="808"/>
      <c r="DB32" s="808"/>
      <c r="DC32" s="808"/>
      <c r="DD32" s="808"/>
      <c r="DE32" s="808"/>
      <c r="DF32" s="808"/>
      <c r="DG32" s="808"/>
      <c r="DH32" s="808"/>
      <c r="DI32" s="808"/>
      <c r="DJ32" s="808"/>
      <c r="DK32" s="808"/>
      <c r="DL32" s="808"/>
      <c r="DM32" s="808"/>
      <c r="DN32" s="808"/>
      <c r="DO32" s="808"/>
      <c r="DP32" s="808"/>
    </row>
    <row r="33" spans="1:120">
      <c r="A33" s="821"/>
      <c r="B33" s="813" t="s">
        <v>961</v>
      </c>
      <c r="C33" s="814" t="s">
        <v>1216</v>
      </c>
      <c r="D33" s="815">
        <v>0</v>
      </c>
      <c r="E33" s="815">
        <v>0</v>
      </c>
      <c r="K33" s="808"/>
      <c r="M33" s="808"/>
      <c r="N33" s="808"/>
      <c r="O33" s="808"/>
      <c r="P33" s="808"/>
      <c r="Q33" s="808"/>
      <c r="R33" s="808"/>
      <c r="S33" s="808"/>
      <c r="T33" s="808"/>
      <c r="U33" s="808"/>
      <c r="V33" s="808"/>
      <c r="W33" s="808"/>
      <c r="X33" s="808"/>
      <c r="Y33" s="808"/>
      <c r="Z33" s="808"/>
      <c r="AA33" s="808"/>
      <c r="AB33" s="808"/>
      <c r="AC33" s="808"/>
      <c r="AD33" s="808"/>
      <c r="AE33" s="808"/>
      <c r="AF33" s="808"/>
      <c r="AG33" s="808"/>
      <c r="AH33" s="808"/>
      <c r="AI33" s="808"/>
      <c r="AJ33" s="808"/>
      <c r="AK33" s="808"/>
      <c r="AL33" s="808"/>
      <c r="AM33" s="808"/>
      <c r="AN33" s="808"/>
      <c r="AO33" s="808"/>
      <c r="AP33" s="808"/>
      <c r="AQ33" s="808"/>
      <c r="AR33" s="808"/>
      <c r="AS33" s="808"/>
      <c r="AT33" s="808"/>
      <c r="AU33" s="808"/>
      <c r="AV33" s="808"/>
      <c r="AW33" s="808"/>
      <c r="AX33" s="808"/>
      <c r="AY33" s="808"/>
      <c r="AZ33" s="808"/>
      <c r="BA33" s="808"/>
      <c r="BB33" s="808"/>
      <c r="BC33" s="808"/>
      <c r="BD33" s="808"/>
      <c r="BE33" s="808"/>
      <c r="BF33" s="808"/>
      <c r="BG33" s="808"/>
      <c r="BH33" s="808"/>
      <c r="BI33" s="808"/>
      <c r="BJ33" s="808"/>
      <c r="BK33" s="808"/>
      <c r="BL33" s="808"/>
      <c r="BM33" s="808"/>
      <c r="BN33" s="808"/>
      <c r="BO33" s="808"/>
      <c r="BP33" s="808"/>
      <c r="BQ33" s="808"/>
      <c r="BR33" s="808"/>
      <c r="BS33" s="808"/>
      <c r="BT33" s="808"/>
      <c r="BU33" s="808"/>
      <c r="BV33" s="808"/>
      <c r="BW33" s="808"/>
      <c r="BX33" s="808"/>
      <c r="BY33" s="808"/>
      <c r="BZ33" s="808"/>
      <c r="CA33" s="808"/>
      <c r="CB33" s="808"/>
      <c r="CC33" s="808"/>
      <c r="CD33" s="808"/>
      <c r="CE33" s="808"/>
      <c r="CF33" s="808"/>
      <c r="CG33" s="808"/>
      <c r="CH33" s="808"/>
      <c r="CI33" s="808"/>
      <c r="CJ33" s="808"/>
      <c r="CK33" s="808"/>
      <c r="CL33" s="808"/>
      <c r="CM33" s="808"/>
      <c r="CN33" s="808"/>
      <c r="CO33" s="808"/>
      <c r="CP33" s="808"/>
      <c r="CQ33" s="808"/>
      <c r="CR33" s="808"/>
      <c r="CS33" s="808"/>
      <c r="CT33" s="808"/>
      <c r="CU33" s="808"/>
      <c r="CV33" s="808"/>
      <c r="CW33" s="808"/>
      <c r="CX33" s="808"/>
      <c r="CY33" s="808"/>
      <c r="CZ33" s="808"/>
      <c r="DA33" s="808"/>
      <c r="DB33" s="808"/>
      <c r="DC33" s="808"/>
      <c r="DD33" s="808"/>
      <c r="DE33" s="808"/>
      <c r="DF33" s="808"/>
      <c r="DG33" s="808"/>
      <c r="DH33" s="808"/>
      <c r="DI33" s="808"/>
      <c r="DJ33" s="808"/>
      <c r="DK33" s="808"/>
      <c r="DL33" s="808"/>
      <c r="DM33" s="808"/>
      <c r="DN33" s="808"/>
      <c r="DO33" s="808"/>
      <c r="DP33" s="808"/>
    </row>
    <row r="34" spans="1:120">
      <c r="A34" s="821"/>
      <c r="B34" s="813" t="s">
        <v>962</v>
      </c>
      <c r="C34" s="814" t="s">
        <v>219</v>
      </c>
      <c r="D34" s="815">
        <v>0</v>
      </c>
      <c r="E34" s="815">
        <v>0</v>
      </c>
      <c r="K34" s="808"/>
      <c r="M34" s="808"/>
      <c r="N34" s="808"/>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808"/>
      <c r="AL34" s="808"/>
      <c r="AM34" s="808"/>
      <c r="AN34" s="808"/>
      <c r="AO34" s="808"/>
      <c r="AP34" s="808"/>
      <c r="AQ34" s="808"/>
      <c r="AR34" s="808"/>
      <c r="AS34" s="808"/>
      <c r="AT34" s="808"/>
      <c r="AU34" s="808"/>
      <c r="AV34" s="808"/>
      <c r="AW34" s="808"/>
      <c r="AX34" s="808"/>
      <c r="AY34" s="808"/>
      <c r="AZ34" s="808"/>
      <c r="BA34" s="808"/>
      <c r="BB34" s="808"/>
      <c r="BC34" s="808"/>
      <c r="BD34" s="808"/>
      <c r="BE34" s="808"/>
      <c r="BF34" s="808"/>
      <c r="BG34" s="808"/>
      <c r="BH34" s="808"/>
      <c r="BI34" s="808"/>
      <c r="BJ34" s="808"/>
      <c r="BK34" s="808"/>
      <c r="BL34" s="808"/>
      <c r="BM34" s="808"/>
      <c r="BN34" s="808"/>
      <c r="BO34" s="808"/>
      <c r="BP34" s="808"/>
      <c r="BQ34" s="808"/>
      <c r="BR34" s="808"/>
      <c r="BS34" s="808"/>
      <c r="BT34" s="808"/>
      <c r="BU34" s="808"/>
      <c r="BV34" s="808"/>
      <c r="BW34" s="808"/>
      <c r="BX34" s="808"/>
      <c r="BY34" s="808"/>
      <c r="BZ34" s="808"/>
      <c r="CA34" s="808"/>
      <c r="CB34" s="808"/>
      <c r="CC34" s="808"/>
      <c r="CD34" s="808"/>
      <c r="CE34" s="808"/>
      <c r="CF34" s="808"/>
      <c r="CG34" s="808"/>
      <c r="CH34" s="808"/>
      <c r="CI34" s="808"/>
      <c r="CJ34" s="808"/>
      <c r="CK34" s="808"/>
      <c r="CL34" s="808"/>
      <c r="CM34" s="808"/>
      <c r="CN34" s="808"/>
      <c r="CO34" s="808"/>
      <c r="CP34" s="808"/>
      <c r="CQ34" s="808"/>
      <c r="CR34" s="808"/>
      <c r="CS34" s="808"/>
      <c r="CT34" s="808"/>
      <c r="CU34" s="808"/>
      <c r="CV34" s="808"/>
      <c r="CW34" s="808"/>
      <c r="CX34" s="808"/>
      <c r="CY34" s="808"/>
      <c r="CZ34" s="808"/>
      <c r="DA34" s="808"/>
      <c r="DB34" s="808"/>
      <c r="DC34" s="808"/>
      <c r="DD34" s="808"/>
      <c r="DE34" s="808"/>
      <c r="DF34" s="808"/>
      <c r="DG34" s="808"/>
      <c r="DH34" s="808"/>
      <c r="DI34" s="808"/>
      <c r="DJ34" s="808"/>
      <c r="DK34" s="808"/>
      <c r="DL34" s="808"/>
      <c r="DM34" s="808"/>
      <c r="DN34" s="808"/>
      <c r="DO34" s="808"/>
      <c r="DP34" s="808"/>
    </row>
    <row r="35" spans="1:120">
      <c r="A35" s="821"/>
      <c r="B35" s="813" t="s">
        <v>962</v>
      </c>
      <c r="C35" s="814" t="s">
        <v>1217</v>
      </c>
      <c r="D35" s="815">
        <v>0</v>
      </c>
      <c r="E35" s="815">
        <v>0</v>
      </c>
      <c r="K35" s="808"/>
      <c r="M35" s="808"/>
      <c r="N35" s="808"/>
      <c r="O35" s="808"/>
      <c r="P35" s="808"/>
      <c r="Q35" s="808"/>
      <c r="R35" s="808"/>
      <c r="S35" s="808"/>
      <c r="T35" s="808"/>
      <c r="U35" s="808"/>
      <c r="V35" s="808"/>
      <c r="W35" s="808"/>
      <c r="X35" s="808"/>
      <c r="Y35" s="808"/>
      <c r="Z35" s="808"/>
      <c r="AA35" s="808"/>
      <c r="AB35" s="808"/>
      <c r="AC35" s="808"/>
      <c r="AD35" s="808"/>
      <c r="AE35" s="808"/>
      <c r="AF35" s="808"/>
      <c r="AG35" s="808"/>
      <c r="AH35" s="808"/>
      <c r="AI35" s="808"/>
      <c r="AJ35" s="808"/>
      <c r="AK35" s="808"/>
      <c r="AL35" s="808"/>
      <c r="AM35" s="808"/>
      <c r="AN35" s="808"/>
      <c r="AO35" s="808"/>
      <c r="AP35" s="808"/>
      <c r="AQ35" s="808"/>
      <c r="AR35" s="808"/>
      <c r="AS35" s="808"/>
      <c r="AT35" s="808"/>
      <c r="AU35" s="808"/>
      <c r="AV35" s="808"/>
      <c r="AW35" s="808"/>
      <c r="AX35" s="808"/>
      <c r="AY35" s="808"/>
      <c r="AZ35" s="808"/>
      <c r="BA35" s="808"/>
      <c r="BB35" s="808"/>
      <c r="BC35" s="808"/>
      <c r="BD35" s="808"/>
      <c r="BE35" s="808"/>
      <c r="BF35" s="808"/>
      <c r="BG35" s="808"/>
      <c r="BH35" s="808"/>
      <c r="BI35" s="808"/>
      <c r="BJ35" s="808"/>
      <c r="BK35" s="808"/>
      <c r="BL35" s="808"/>
      <c r="BM35" s="808"/>
      <c r="BN35" s="808"/>
      <c r="BO35" s="808"/>
      <c r="BP35" s="808"/>
      <c r="BQ35" s="808"/>
      <c r="BR35" s="808"/>
      <c r="BS35" s="808"/>
      <c r="BT35" s="808"/>
      <c r="BU35" s="808"/>
      <c r="BV35" s="808"/>
      <c r="BW35" s="808"/>
      <c r="BX35" s="808"/>
      <c r="BY35" s="808"/>
      <c r="BZ35" s="808"/>
      <c r="CA35" s="808"/>
      <c r="CB35" s="808"/>
      <c r="CC35" s="808"/>
      <c r="CD35" s="808"/>
      <c r="CE35" s="808"/>
      <c r="CF35" s="808"/>
      <c r="CG35" s="808"/>
      <c r="CH35" s="808"/>
      <c r="CI35" s="808"/>
      <c r="CJ35" s="808"/>
      <c r="CK35" s="808"/>
      <c r="CL35" s="808"/>
      <c r="CM35" s="808"/>
      <c r="CN35" s="808"/>
      <c r="CO35" s="808"/>
      <c r="CP35" s="808"/>
      <c r="CQ35" s="808"/>
      <c r="CR35" s="808"/>
      <c r="CS35" s="808"/>
      <c r="CT35" s="808"/>
      <c r="CU35" s="808"/>
      <c r="CV35" s="808"/>
      <c r="CW35" s="808"/>
      <c r="CX35" s="808"/>
      <c r="CY35" s="808"/>
      <c r="CZ35" s="808"/>
      <c r="DA35" s="808"/>
      <c r="DB35" s="808"/>
      <c r="DC35" s="808"/>
      <c r="DD35" s="808"/>
      <c r="DE35" s="808"/>
      <c r="DF35" s="808"/>
      <c r="DG35" s="808"/>
      <c r="DH35" s="808"/>
      <c r="DI35" s="808"/>
      <c r="DJ35" s="808"/>
      <c r="DK35" s="808"/>
      <c r="DL35" s="808"/>
      <c r="DM35" s="808"/>
      <c r="DN35" s="808"/>
      <c r="DO35" s="808"/>
      <c r="DP35" s="808"/>
    </row>
    <row r="36" spans="1:120">
      <c r="A36" s="821"/>
      <c r="B36" s="813" t="s">
        <v>962</v>
      </c>
      <c r="C36" s="814" t="s">
        <v>220</v>
      </c>
      <c r="D36" s="815">
        <v>586304.5</v>
      </c>
      <c r="E36" s="815" t="e">
        <f>+#REF!/1000+#REF!/1000-E31</f>
        <v>#REF!</v>
      </c>
      <c r="K36" s="808"/>
      <c r="M36" s="808"/>
      <c r="N36" s="808"/>
      <c r="O36" s="808"/>
      <c r="P36" s="808"/>
      <c r="Q36" s="808"/>
      <c r="R36" s="808"/>
      <c r="S36" s="808"/>
      <c r="T36" s="808"/>
      <c r="U36" s="808"/>
      <c r="V36" s="808"/>
      <c r="W36" s="808"/>
      <c r="X36" s="808"/>
      <c r="Y36" s="808"/>
      <c r="Z36" s="808"/>
      <c r="AA36" s="808"/>
      <c r="AB36" s="808"/>
      <c r="AC36" s="808"/>
      <c r="AD36" s="808"/>
      <c r="AE36" s="808"/>
      <c r="AF36" s="808"/>
      <c r="AG36" s="808"/>
      <c r="AH36" s="808"/>
      <c r="AI36" s="808"/>
      <c r="AJ36" s="808"/>
      <c r="AK36" s="808"/>
      <c r="AL36" s="808"/>
      <c r="AM36" s="808"/>
      <c r="AN36" s="808"/>
      <c r="AO36" s="808"/>
      <c r="AP36" s="808"/>
      <c r="AQ36" s="808"/>
      <c r="AR36" s="808"/>
      <c r="AS36" s="808"/>
      <c r="AT36" s="808"/>
      <c r="AU36" s="808"/>
      <c r="AV36" s="808"/>
      <c r="AW36" s="808"/>
      <c r="AX36" s="808"/>
      <c r="AY36" s="808"/>
      <c r="AZ36" s="808"/>
      <c r="BA36" s="808"/>
      <c r="BB36" s="808"/>
      <c r="BC36" s="808"/>
      <c r="BD36" s="808"/>
      <c r="BE36" s="808"/>
      <c r="BF36" s="808"/>
      <c r="BG36" s="808"/>
      <c r="BH36" s="808"/>
      <c r="BI36" s="808"/>
      <c r="BJ36" s="808"/>
      <c r="BK36" s="808"/>
      <c r="BL36" s="808"/>
      <c r="BM36" s="808"/>
      <c r="BN36" s="808"/>
      <c r="BO36" s="808"/>
      <c r="BP36" s="808"/>
      <c r="BQ36" s="808"/>
      <c r="BR36" s="808"/>
      <c r="BS36" s="808"/>
      <c r="BT36" s="808"/>
      <c r="BU36" s="808"/>
      <c r="BV36" s="808"/>
      <c r="BW36" s="808"/>
      <c r="BX36" s="808"/>
      <c r="BY36" s="808"/>
      <c r="BZ36" s="808"/>
      <c r="CA36" s="808"/>
      <c r="CB36" s="808"/>
      <c r="CC36" s="808"/>
      <c r="CD36" s="808"/>
      <c r="CE36" s="808"/>
      <c r="CF36" s="808"/>
      <c r="CG36" s="808"/>
      <c r="CH36" s="808"/>
      <c r="CI36" s="808"/>
      <c r="CJ36" s="808"/>
      <c r="CK36" s="808"/>
      <c r="CL36" s="808"/>
      <c r="CM36" s="808"/>
      <c r="CN36" s="808"/>
      <c r="CO36" s="808"/>
      <c r="CP36" s="808"/>
      <c r="CQ36" s="808"/>
      <c r="CR36" s="808"/>
      <c r="CS36" s="808"/>
      <c r="CT36" s="808"/>
      <c r="CU36" s="808"/>
      <c r="CV36" s="808"/>
      <c r="CW36" s="808"/>
      <c r="CX36" s="808"/>
      <c r="CY36" s="808"/>
      <c r="CZ36" s="808"/>
      <c r="DA36" s="808"/>
      <c r="DB36" s="808"/>
      <c r="DC36" s="808"/>
      <c r="DD36" s="808"/>
      <c r="DE36" s="808"/>
      <c r="DF36" s="808"/>
      <c r="DG36" s="808"/>
      <c r="DH36" s="808"/>
      <c r="DI36" s="808"/>
      <c r="DJ36" s="808"/>
      <c r="DK36" s="808"/>
      <c r="DL36" s="808"/>
      <c r="DM36" s="808"/>
      <c r="DN36" s="808"/>
      <c r="DO36" s="808"/>
      <c r="DP36" s="808"/>
    </row>
    <row r="37" spans="1:120">
      <c r="A37" s="821"/>
      <c r="B37" s="813" t="s">
        <v>962</v>
      </c>
      <c r="C37" s="814" t="s">
        <v>1218</v>
      </c>
      <c r="D37" s="815">
        <f>7931370.2-265210.14</f>
        <v>7666160.0600000005</v>
      </c>
      <c r="E37" s="815" t="e">
        <f>+#REF!/1000</f>
        <v>#REF!</v>
      </c>
      <c r="K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8"/>
      <c r="AU37" s="808"/>
      <c r="AV37" s="808"/>
      <c r="AW37" s="808"/>
      <c r="AX37" s="808"/>
      <c r="AY37" s="808"/>
      <c r="AZ37" s="808"/>
      <c r="BA37" s="808"/>
      <c r="BB37" s="808"/>
      <c r="BC37" s="808"/>
      <c r="BD37" s="808"/>
      <c r="BE37" s="808"/>
      <c r="BF37" s="808"/>
      <c r="BG37" s="808"/>
      <c r="BH37" s="808"/>
      <c r="BI37" s="808"/>
      <c r="BJ37" s="808"/>
      <c r="BK37" s="808"/>
      <c r="BL37" s="808"/>
      <c r="BM37" s="808"/>
      <c r="BN37" s="808"/>
      <c r="BO37" s="808"/>
      <c r="BP37" s="808"/>
      <c r="BQ37" s="808"/>
      <c r="BR37" s="808"/>
      <c r="BS37" s="808"/>
      <c r="BT37" s="808"/>
      <c r="BU37" s="808"/>
      <c r="BV37" s="808"/>
      <c r="BW37" s="808"/>
      <c r="BX37" s="808"/>
      <c r="BY37" s="808"/>
      <c r="BZ37" s="808"/>
      <c r="CA37" s="808"/>
      <c r="CB37" s="808"/>
      <c r="CC37" s="808"/>
      <c r="CD37" s="808"/>
      <c r="CE37" s="808"/>
      <c r="CF37" s="808"/>
      <c r="CG37" s="808"/>
      <c r="CH37" s="808"/>
      <c r="CI37" s="808"/>
      <c r="CJ37" s="808"/>
      <c r="CK37" s="808"/>
      <c r="CL37" s="808"/>
      <c r="CM37" s="808"/>
      <c r="CN37" s="808"/>
      <c r="CO37" s="808"/>
      <c r="CP37" s="808"/>
      <c r="CQ37" s="808"/>
      <c r="CR37" s="808"/>
      <c r="CS37" s="808"/>
      <c r="CT37" s="808"/>
      <c r="CU37" s="808"/>
      <c r="CV37" s="808"/>
      <c r="CW37" s="808"/>
      <c r="CX37" s="808"/>
      <c r="CY37" s="808"/>
      <c r="CZ37" s="808"/>
      <c r="DA37" s="808"/>
      <c r="DB37" s="808"/>
      <c r="DC37" s="808"/>
      <c r="DD37" s="808"/>
      <c r="DE37" s="808"/>
      <c r="DF37" s="808"/>
      <c r="DG37" s="808"/>
      <c r="DH37" s="808"/>
      <c r="DI37" s="808"/>
      <c r="DJ37" s="808"/>
      <c r="DK37" s="808"/>
      <c r="DL37" s="808"/>
      <c r="DM37" s="808"/>
      <c r="DN37" s="808"/>
      <c r="DO37" s="808"/>
      <c r="DP37" s="808"/>
    </row>
    <row r="38" spans="1:120">
      <c r="A38" s="821"/>
      <c r="B38" s="813" t="s">
        <v>962</v>
      </c>
      <c r="C38" s="816" t="s">
        <v>82</v>
      </c>
      <c r="D38" s="815">
        <f>SUM(D31:D37)</f>
        <v>8260373.6600000001</v>
      </c>
      <c r="E38" s="815" t="e">
        <f>SUM(E31:E37)</f>
        <v>#REF!</v>
      </c>
      <c r="F38" s="824" t="e">
        <f>+balance!#REF!</f>
        <v>#REF!</v>
      </c>
      <c r="K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808"/>
      <c r="AL38" s="808"/>
      <c r="AM38" s="808"/>
      <c r="AN38" s="808"/>
      <c r="AO38" s="808"/>
      <c r="AP38" s="808"/>
      <c r="AQ38" s="808"/>
      <c r="AR38" s="808"/>
      <c r="AS38" s="808"/>
      <c r="AT38" s="808"/>
      <c r="AU38" s="808"/>
      <c r="AV38" s="808"/>
      <c r="AW38" s="808"/>
      <c r="AX38" s="808"/>
      <c r="AY38" s="808"/>
      <c r="AZ38" s="808"/>
      <c r="BA38" s="808"/>
      <c r="BB38" s="808"/>
      <c r="BC38" s="808"/>
      <c r="BD38" s="808"/>
      <c r="BE38" s="808"/>
      <c r="BF38" s="808"/>
      <c r="BG38" s="808"/>
      <c r="BH38" s="808"/>
      <c r="BI38" s="808"/>
      <c r="BJ38" s="808"/>
      <c r="BK38" s="808"/>
      <c r="BL38" s="808"/>
      <c r="BM38" s="808"/>
      <c r="BN38" s="808"/>
      <c r="BO38" s="808"/>
      <c r="BP38" s="808"/>
      <c r="BQ38" s="808"/>
      <c r="BR38" s="808"/>
      <c r="BS38" s="808"/>
      <c r="BT38" s="808"/>
      <c r="BU38" s="808"/>
      <c r="BV38" s="808"/>
      <c r="BW38" s="808"/>
      <c r="BX38" s="808"/>
      <c r="BY38" s="808"/>
      <c r="BZ38" s="808"/>
      <c r="CA38" s="808"/>
      <c r="CB38" s="808"/>
      <c r="CC38" s="808"/>
      <c r="CD38" s="808"/>
      <c r="CE38" s="808"/>
      <c r="CF38" s="808"/>
      <c r="CG38" s="808"/>
      <c r="CH38" s="808"/>
      <c r="CI38" s="808"/>
      <c r="CJ38" s="808"/>
      <c r="CK38" s="808"/>
      <c r="CL38" s="808"/>
      <c r="CM38" s="808"/>
      <c r="CN38" s="808"/>
      <c r="CO38" s="808"/>
      <c r="CP38" s="808"/>
      <c r="CQ38" s="808"/>
      <c r="CR38" s="808"/>
      <c r="CS38" s="808"/>
      <c r="CT38" s="808"/>
      <c r="CU38" s="808"/>
      <c r="CV38" s="808"/>
      <c r="CW38" s="808"/>
      <c r="CX38" s="808"/>
      <c r="CY38" s="808"/>
      <c r="CZ38" s="808"/>
      <c r="DA38" s="808"/>
      <c r="DB38" s="808"/>
      <c r="DC38" s="808"/>
      <c r="DD38" s="808"/>
      <c r="DE38" s="808"/>
      <c r="DF38" s="808"/>
      <c r="DG38" s="808"/>
      <c r="DH38" s="808"/>
      <c r="DI38" s="808"/>
      <c r="DJ38" s="808"/>
      <c r="DK38" s="808"/>
      <c r="DL38" s="808"/>
      <c r="DM38" s="808"/>
      <c r="DN38" s="808"/>
      <c r="DO38" s="808"/>
      <c r="DP38" s="808"/>
    </row>
    <row r="39" spans="1:120" hidden="1">
      <c r="A39" s="821"/>
      <c r="B39" s="809" t="s">
        <v>1219</v>
      </c>
      <c r="C39" s="808"/>
      <c r="D39" s="214">
        <f>+D38-balance!C12/1000</f>
        <v>7526088.7092721853</v>
      </c>
      <c r="E39" s="824" t="e">
        <f>+E38-balance!D12/1000</f>
        <v>#REF!</v>
      </c>
      <c r="K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808"/>
      <c r="AL39" s="808"/>
      <c r="AM39" s="808"/>
      <c r="AN39" s="808"/>
      <c r="AO39" s="808"/>
      <c r="AP39" s="808"/>
      <c r="AQ39" s="808"/>
      <c r="AR39" s="808"/>
      <c r="AS39" s="808"/>
      <c r="AT39" s="808"/>
      <c r="AU39" s="808"/>
      <c r="AV39" s="808"/>
      <c r="AW39" s="808"/>
      <c r="AX39" s="808"/>
      <c r="AY39" s="808"/>
      <c r="AZ39" s="808"/>
      <c r="BA39" s="808"/>
      <c r="BB39" s="808"/>
      <c r="BC39" s="808"/>
      <c r="BD39" s="808"/>
      <c r="BE39" s="808"/>
      <c r="BF39" s="808"/>
      <c r="BG39" s="808"/>
      <c r="BH39" s="808"/>
      <c r="BI39" s="808"/>
      <c r="BJ39" s="808"/>
      <c r="BK39" s="808"/>
      <c r="BL39" s="808"/>
      <c r="BM39" s="808"/>
      <c r="BN39" s="808"/>
      <c r="BO39" s="808"/>
      <c r="BP39" s="808"/>
      <c r="BQ39" s="808"/>
      <c r="BR39" s="808"/>
      <c r="BS39" s="808"/>
      <c r="BT39" s="808"/>
      <c r="BU39" s="808"/>
      <c r="BV39" s="808"/>
      <c r="BW39" s="808"/>
      <c r="BX39" s="808"/>
      <c r="BY39" s="808"/>
      <c r="BZ39" s="808"/>
      <c r="CA39" s="808"/>
      <c r="CB39" s="808"/>
      <c r="CC39" s="808"/>
      <c r="CD39" s="808"/>
      <c r="CE39" s="808"/>
      <c r="CF39" s="808"/>
      <c r="CG39" s="808"/>
      <c r="CH39" s="808"/>
      <c r="CI39" s="808"/>
      <c r="CJ39" s="808"/>
      <c r="CK39" s="808"/>
      <c r="CL39" s="808"/>
      <c r="CM39" s="808"/>
      <c r="CN39" s="808"/>
      <c r="CO39" s="808"/>
      <c r="CP39" s="808"/>
      <c r="CQ39" s="808"/>
      <c r="CR39" s="808"/>
      <c r="CS39" s="808"/>
      <c r="CT39" s="808"/>
      <c r="CU39" s="808"/>
      <c r="CV39" s="808"/>
      <c r="CW39" s="808"/>
      <c r="CX39" s="808"/>
      <c r="CY39" s="808"/>
      <c r="CZ39" s="808"/>
      <c r="DA39" s="808"/>
      <c r="DB39" s="808"/>
      <c r="DC39" s="808"/>
      <c r="DD39" s="808"/>
      <c r="DE39" s="808"/>
      <c r="DF39" s="808"/>
      <c r="DG39" s="808"/>
      <c r="DH39" s="808"/>
      <c r="DI39" s="808"/>
      <c r="DJ39" s="808"/>
      <c r="DK39" s="808"/>
      <c r="DL39" s="808"/>
      <c r="DM39" s="808"/>
      <c r="DN39" s="808"/>
      <c r="DO39" s="808"/>
      <c r="DP39" s="808"/>
    </row>
    <row r="40" spans="1:120" hidden="1">
      <c r="A40" s="821"/>
      <c r="B40" s="807"/>
      <c r="C40" s="808"/>
      <c r="E40" s="810" t="s">
        <v>1203</v>
      </c>
      <c r="K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808"/>
      <c r="AM40" s="808"/>
      <c r="AN40" s="808"/>
      <c r="AO40" s="808"/>
      <c r="AP40" s="808"/>
      <c r="AQ40" s="808"/>
      <c r="AR40" s="808"/>
      <c r="AS40" s="808"/>
      <c r="AT40" s="808"/>
      <c r="AU40" s="808"/>
      <c r="AV40" s="808"/>
      <c r="AW40" s="808"/>
      <c r="AX40" s="808"/>
      <c r="AY40" s="808"/>
      <c r="AZ40" s="808"/>
      <c r="BA40" s="808"/>
      <c r="BB40" s="808"/>
      <c r="BC40" s="808"/>
      <c r="BD40" s="808"/>
      <c r="BE40" s="808"/>
      <c r="BF40" s="808"/>
      <c r="BG40" s="808"/>
      <c r="BH40" s="808"/>
      <c r="BI40" s="808"/>
      <c r="BJ40" s="808"/>
      <c r="BK40" s="808"/>
      <c r="BL40" s="808"/>
      <c r="BM40" s="808"/>
      <c r="BN40" s="808"/>
      <c r="BO40" s="808"/>
      <c r="BP40" s="808"/>
      <c r="BQ40" s="808"/>
      <c r="BR40" s="808"/>
      <c r="BS40" s="808"/>
      <c r="BT40" s="808"/>
      <c r="BU40" s="808"/>
      <c r="BV40" s="808"/>
      <c r="BW40" s="808"/>
      <c r="BX40" s="808"/>
      <c r="BY40" s="808"/>
      <c r="BZ40" s="808"/>
      <c r="CA40" s="808"/>
      <c r="CB40" s="808"/>
      <c r="CC40" s="808"/>
      <c r="CD40" s="808"/>
      <c r="CE40" s="808"/>
      <c r="CF40" s="808"/>
      <c r="CG40" s="808"/>
      <c r="CH40" s="808"/>
      <c r="CI40" s="808"/>
      <c r="CJ40" s="808"/>
      <c r="CK40" s="808"/>
      <c r="CL40" s="808"/>
      <c r="CM40" s="808"/>
      <c r="CN40" s="808"/>
      <c r="CO40" s="808"/>
      <c r="CP40" s="808"/>
      <c r="CQ40" s="808"/>
      <c r="CR40" s="808"/>
      <c r="CS40" s="808"/>
      <c r="CT40" s="808"/>
      <c r="CU40" s="808"/>
      <c r="CV40" s="808"/>
      <c r="CW40" s="808"/>
      <c r="CX40" s="808"/>
      <c r="CY40" s="808"/>
      <c r="CZ40" s="808"/>
      <c r="DA40" s="808"/>
      <c r="DB40" s="808"/>
      <c r="DC40" s="808"/>
      <c r="DD40" s="808"/>
      <c r="DE40" s="808"/>
      <c r="DF40" s="808"/>
      <c r="DG40" s="808"/>
      <c r="DH40" s="808"/>
      <c r="DI40" s="808"/>
      <c r="DJ40" s="808"/>
      <c r="DK40" s="808"/>
      <c r="DL40" s="808"/>
      <c r="DM40" s="808"/>
      <c r="DN40" s="808"/>
      <c r="DO40" s="808"/>
      <c r="DP40" s="808"/>
    </row>
    <row r="41" spans="1:120" hidden="1">
      <c r="A41" s="821"/>
      <c r="B41" s="811" t="s">
        <v>79</v>
      </c>
      <c r="C41" s="811" t="s">
        <v>5</v>
      </c>
      <c r="D41" s="812" t="s">
        <v>195</v>
      </c>
      <c r="E41" s="812" t="s">
        <v>195</v>
      </c>
      <c r="K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8"/>
      <c r="AP41" s="808"/>
      <c r="AQ41" s="808"/>
      <c r="AR41" s="808"/>
      <c r="AS41" s="808"/>
      <c r="AT41" s="808"/>
      <c r="AU41" s="808"/>
      <c r="AV41" s="808"/>
      <c r="AW41" s="808"/>
      <c r="AX41" s="808"/>
      <c r="AY41" s="808"/>
      <c r="AZ41" s="808"/>
      <c r="BA41" s="808"/>
      <c r="BB41" s="808"/>
      <c r="BC41" s="808"/>
      <c r="BD41" s="808"/>
      <c r="BE41" s="808"/>
      <c r="BF41" s="808"/>
      <c r="BG41" s="808"/>
      <c r="BH41" s="808"/>
      <c r="BI41" s="808"/>
      <c r="BJ41" s="808"/>
      <c r="BK41" s="808"/>
      <c r="BL41" s="808"/>
      <c r="BM41" s="808"/>
      <c r="BN41" s="808"/>
      <c r="BO41" s="808"/>
      <c r="BP41" s="808"/>
      <c r="BQ41" s="808"/>
      <c r="BR41" s="808"/>
      <c r="BS41" s="808"/>
      <c r="BT41" s="808"/>
      <c r="BU41" s="808"/>
      <c r="BV41" s="808"/>
      <c r="BW41" s="808"/>
      <c r="BX41" s="808"/>
      <c r="BY41" s="808"/>
      <c r="BZ41" s="808"/>
      <c r="CA41" s="808"/>
      <c r="CB41" s="808"/>
      <c r="CC41" s="808"/>
      <c r="CD41" s="808"/>
      <c r="CE41" s="808"/>
      <c r="CF41" s="808"/>
      <c r="CG41" s="808"/>
      <c r="CH41" s="808"/>
      <c r="CI41" s="808"/>
      <c r="CJ41" s="808"/>
      <c r="CK41" s="808"/>
      <c r="CL41" s="808"/>
      <c r="CM41" s="808"/>
      <c r="CN41" s="808"/>
      <c r="CO41" s="808"/>
      <c r="CP41" s="808"/>
      <c r="CQ41" s="808"/>
      <c r="CR41" s="808"/>
      <c r="CS41" s="808"/>
      <c r="CT41" s="808"/>
      <c r="CU41" s="808"/>
      <c r="CV41" s="808"/>
      <c r="CW41" s="808"/>
      <c r="CX41" s="808"/>
      <c r="CY41" s="808"/>
      <c r="CZ41" s="808"/>
      <c r="DA41" s="808"/>
      <c r="DB41" s="808"/>
      <c r="DC41" s="808"/>
      <c r="DD41" s="808"/>
      <c r="DE41" s="808"/>
      <c r="DF41" s="808"/>
      <c r="DG41" s="808"/>
      <c r="DH41" s="808"/>
      <c r="DI41" s="808"/>
      <c r="DJ41" s="808"/>
      <c r="DK41" s="808"/>
      <c r="DL41" s="808"/>
      <c r="DM41" s="808"/>
      <c r="DN41" s="808"/>
      <c r="DO41" s="808"/>
      <c r="DP41" s="808"/>
    </row>
    <row r="42" spans="1:120" hidden="1">
      <c r="A42" s="821"/>
      <c r="B42" s="813" t="s">
        <v>1220</v>
      </c>
      <c r="C42" s="814"/>
      <c r="D42" s="815">
        <v>0</v>
      </c>
      <c r="E42" s="815">
        <v>0</v>
      </c>
      <c r="K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8"/>
      <c r="AY42" s="808"/>
      <c r="AZ42" s="808"/>
      <c r="BA42" s="808"/>
      <c r="BB42" s="808"/>
      <c r="BC42" s="808"/>
      <c r="BD42" s="808"/>
      <c r="BE42" s="808"/>
      <c r="BF42" s="808"/>
      <c r="BG42" s="808"/>
      <c r="BH42" s="808"/>
      <c r="BI42" s="808"/>
      <c r="BJ42" s="808"/>
      <c r="BK42" s="808"/>
      <c r="BL42" s="808"/>
      <c r="BM42" s="808"/>
      <c r="BN42" s="808"/>
      <c r="BO42" s="808"/>
      <c r="BP42" s="808"/>
      <c r="BQ42" s="808"/>
      <c r="BR42" s="808"/>
      <c r="BS42" s="808"/>
      <c r="BT42" s="808"/>
      <c r="BU42" s="808"/>
      <c r="BV42" s="808"/>
      <c r="BW42" s="808"/>
      <c r="BX42" s="808"/>
      <c r="BY42" s="808"/>
      <c r="BZ42" s="808"/>
      <c r="CA42" s="808"/>
      <c r="CB42" s="808"/>
      <c r="CC42" s="808"/>
      <c r="CD42" s="808"/>
      <c r="CE42" s="808"/>
      <c r="CF42" s="808"/>
      <c r="CG42" s="808"/>
      <c r="CH42" s="808"/>
      <c r="CI42" s="808"/>
      <c r="CJ42" s="808"/>
      <c r="CK42" s="808"/>
      <c r="CL42" s="808"/>
      <c r="CM42" s="808"/>
      <c r="CN42" s="808"/>
      <c r="CO42" s="808"/>
      <c r="CP42" s="808"/>
      <c r="CQ42" s="808"/>
      <c r="CR42" s="808"/>
      <c r="CS42" s="808"/>
      <c r="CT42" s="808"/>
      <c r="CU42" s="808"/>
      <c r="CV42" s="808"/>
      <c r="CW42" s="808"/>
      <c r="CX42" s="808"/>
      <c r="CY42" s="808"/>
      <c r="CZ42" s="808"/>
      <c r="DA42" s="808"/>
      <c r="DB42" s="808"/>
      <c r="DC42" s="808"/>
      <c r="DD42" s="808"/>
      <c r="DE42" s="808"/>
      <c r="DF42" s="808"/>
      <c r="DG42" s="808"/>
      <c r="DH42" s="808"/>
      <c r="DI42" s="808"/>
      <c r="DJ42" s="808"/>
      <c r="DK42" s="808"/>
      <c r="DL42" s="808"/>
      <c r="DM42" s="808"/>
      <c r="DN42" s="808"/>
      <c r="DO42" s="808"/>
      <c r="DP42" s="808"/>
    </row>
    <row r="43" spans="1:120" hidden="1">
      <c r="A43" s="821"/>
      <c r="B43" s="813" t="s">
        <v>1201</v>
      </c>
      <c r="C43" s="816" t="s">
        <v>82</v>
      </c>
      <c r="D43" s="815">
        <v>0</v>
      </c>
      <c r="E43" s="815">
        <v>0</v>
      </c>
      <c r="K43" s="808"/>
      <c r="M43" s="808"/>
      <c r="N43" s="808"/>
      <c r="O43" s="808"/>
      <c r="P43" s="808"/>
      <c r="Q43" s="808"/>
      <c r="R43" s="808"/>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c r="AQ43" s="808"/>
      <c r="AR43" s="808"/>
      <c r="AS43" s="808"/>
      <c r="AT43" s="808"/>
      <c r="AU43" s="808"/>
      <c r="AV43" s="808"/>
      <c r="AW43" s="808"/>
      <c r="AX43" s="808"/>
      <c r="AY43" s="808"/>
      <c r="AZ43" s="808"/>
      <c r="BA43" s="808"/>
      <c r="BB43" s="808"/>
      <c r="BC43" s="808"/>
      <c r="BD43" s="808"/>
      <c r="BE43" s="808"/>
      <c r="BF43" s="808"/>
      <c r="BG43" s="808"/>
      <c r="BH43" s="808"/>
      <c r="BI43" s="808"/>
      <c r="BJ43" s="808"/>
      <c r="BK43" s="808"/>
      <c r="BL43" s="808"/>
      <c r="BM43" s="808"/>
      <c r="BN43" s="808"/>
      <c r="BO43" s="808"/>
      <c r="BP43" s="808"/>
      <c r="BQ43" s="808"/>
      <c r="BR43" s="808"/>
      <c r="BS43" s="808"/>
      <c r="BT43" s="808"/>
      <c r="BU43" s="808"/>
      <c r="BV43" s="808"/>
      <c r="BW43" s="808"/>
      <c r="BX43" s="808"/>
      <c r="BY43" s="808"/>
      <c r="BZ43" s="808"/>
      <c r="CA43" s="808"/>
      <c r="CB43" s="808"/>
      <c r="CC43" s="808"/>
      <c r="CD43" s="808"/>
      <c r="CE43" s="808"/>
      <c r="CF43" s="808"/>
      <c r="CG43" s="808"/>
      <c r="CH43" s="808"/>
      <c r="CI43" s="808"/>
      <c r="CJ43" s="808"/>
      <c r="CK43" s="808"/>
      <c r="CL43" s="808"/>
      <c r="CM43" s="808"/>
      <c r="CN43" s="808"/>
      <c r="CO43" s="808"/>
      <c r="CP43" s="808"/>
      <c r="CQ43" s="808"/>
      <c r="CR43" s="808"/>
      <c r="CS43" s="808"/>
      <c r="CT43" s="808"/>
      <c r="CU43" s="808"/>
      <c r="CV43" s="808"/>
      <c r="CW43" s="808"/>
      <c r="CX43" s="808"/>
      <c r="CY43" s="808"/>
      <c r="CZ43" s="808"/>
      <c r="DA43" s="808"/>
      <c r="DB43" s="808"/>
      <c r="DC43" s="808"/>
      <c r="DD43" s="808"/>
      <c r="DE43" s="808"/>
      <c r="DF43" s="808"/>
      <c r="DG43" s="808"/>
      <c r="DH43" s="808"/>
      <c r="DI43" s="808"/>
      <c r="DJ43" s="808"/>
      <c r="DK43" s="808"/>
      <c r="DL43" s="808"/>
      <c r="DM43" s="808"/>
      <c r="DN43" s="808"/>
      <c r="DO43" s="808"/>
      <c r="DP43" s="808"/>
    </row>
    <row r="44" spans="1:120">
      <c r="A44" s="821"/>
      <c r="B44" s="809" t="s">
        <v>1221</v>
      </c>
      <c r="C44" s="808"/>
      <c r="D44" s="214" t="e">
        <f>+D38-#REF!/1000</f>
        <v>#REF!</v>
      </c>
      <c r="E44" s="214" t="e">
        <f>+E38-#REF!/1000</f>
        <v>#REF!</v>
      </c>
      <c r="F44" s="214" t="e">
        <f>+F38-E38</f>
        <v>#REF!</v>
      </c>
      <c r="K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808"/>
      <c r="AV44" s="808"/>
      <c r="AW44" s="808"/>
      <c r="AX44" s="808"/>
      <c r="AY44" s="808"/>
      <c r="AZ44" s="808"/>
      <c r="BA44" s="808"/>
      <c r="BB44" s="808"/>
      <c r="BC44" s="808"/>
      <c r="BD44" s="808"/>
      <c r="BE44" s="808"/>
      <c r="BF44" s="808"/>
      <c r="BG44" s="808"/>
      <c r="BH44" s="808"/>
      <c r="BI44" s="808"/>
      <c r="BJ44" s="808"/>
      <c r="BK44" s="808"/>
      <c r="BL44" s="808"/>
      <c r="BM44" s="808"/>
      <c r="BN44" s="808"/>
      <c r="BO44" s="808"/>
      <c r="BP44" s="808"/>
      <c r="BQ44" s="808"/>
      <c r="BR44" s="808"/>
      <c r="BS44" s="808"/>
      <c r="BT44" s="808"/>
      <c r="BU44" s="808"/>
      <c r="BV44" s="808"/>
      <c r="BW44" s="808"/>
      <c r="BX44" s="808"/>
      <c r="BY44" s="808"/>
      <c r="BZ44" s="808"/>
      <c r="CA44" s="808"/>
      <c r="CB44" s="808"/>
      <c r="CC44" s="808"/>
      <c r="CD44" s="808"/>
      <c r="CE44" s="808"/>
      <c r="CF44" s="808"/>
      <c r="CG44" s="808"/>
      <c r="CH44" s="808"/>
      <c r="CI44" s="808"/>
      <c r="CJ44" s="808"/>
      <c r="CK44" s="808"/>
      <c r="CL44" s="808"/>
      <c r="CM44" s="808"/>
      <c r="CN44" s="808"/>
      <c r="CO44" s="808"/>
      <c r="CP44" s="808"/>
      <c r="CQ44" s="808"/>
      <c r="CR44" s="808"/>
      <c r="CS44" s="808"/>
      <c r="CT44" s="808"/>
      <c r="CU44" s="808"/>
      <c r="CV44" s="808"/>
      <c r="CW44" s="808"/>
      <c r="CX44" s="808"/>
      <c r="CY44" s="808"/>
      <c r="CZ44" s="808"/>
      <c r="DA44" s="808"/>
      <c r="DB44" s="808"/>
      <c r="DC44" s="808"/>
      <c r="DD44" s="808"/>
      <c r="DE44" s="808"/>
      <c r="DF44" s="808"/>
      <c r="DG44" s="808"/>
      <c r="DH44" s="808"/>
      <c r="DI44" s="808"/>
      <c r="DJ44" s="808"/>
      <c r="DK44" s="808"/>
      <c r="DL44" s="808"/>
      <c r="DM44" s="808"/>
      <c r="DN44" s="808"/>
      <c r="DO44" s="808"/>
      <c r="DP44" s="808"/>
    </row>
    <row r="45" spans="1:120">
      <c r="A45" s="821"/>
      <c r="B45" s="807"/>
      <c r="C45" s="808"/>
      <c r="J45" s="810" t="s">
        <v>1203</v>
      </c>
      <c r="K45" s="808"/>
      <c r="M45" s="808"/>
      <c r="N45" s="808"/>
      <c r="O45" s="808"/>
      <c r="P45" s="808"/>
      <c r="Q45" s="808"/>
      <c r="R45" s="808"/>
      <c r="S45" s="808"/>
      <c r="T45" s="808"/>
      <c r="U45" s="808"/>
      <c r="V45" s="808"/>
      <c r="W45" s="808"/>
      <c r="X45" s="808"/>
      <c r="Y45" s="808"/>
      <c r="Z45" s="808"/>
      <c r="AA45" s="808"/>
      <c r="AB45" s="808"/>
      <c r="AC45" s="808"/>
      <c r="AD45" s="808"/>
      <c r="AE45" s="808"/>
      <c r="AF45" s="808"/>
      <c r="AG45" s="808"/>
      <c r="AH45" s="808"/>
      <c r="AI45" s="808"/>
      <c r="AJ45" s="808"/>
      <c r="AK45" s="808"/>
      <c r="AL45" s="808"/>
      <c r="AM45" s="808"/>
      <c r="AN45" s="808"/>
      <c r="AO45" s="808"/>
      <c r="AP45" s="808"/>
      <c r="AQ45" s="808"/>
      <c r="AR45" s="808"/>
      <c r="AS45" s="808"/>
      <c r="AT45" s="808"/>
      <c r="AU45" s="808"/>
      <c r="AV45" s="808"/>
      <c r="AW45" s="808"/>
      <c r="AX45" s="808"/>
      <c r="AY45" s="808"/>
      <c r="AZ45" s="808"/>
      <c r="BA45" s="808"/>
      <c r="BB45" s="808"/>
      <c r="BC45" s="808"/>
      <c r="BD45" s="808"/>
      <c r="BE45" s="808"/>
      <c r="BF45" s="808"/>
      <c r="BG45" s="808"/>
      <c r="BH45" s="808"/>
      <c r="BI45" s="808"/>
      <c r="BJ45" s="808"/>
      <c r="BK45" s="808"/>
      <c r="BL45" s="808"/>
      <c r="BM45" s="808"/>
      <c r="BN45" s="808"/>
      <c r="BO45" s="808"/>
      <c r="BP45" s="808"/>
      <c r="BQ45" s="808"/>
      <c r="BR45" s="808"/>
      <c r="BS45" s="808"/>
      <c r="BT45" s="808"/>
      <c r="BU45" s="808"/>
      <c r="BV45" s="808"/>
      <c r="BW45" s="808"/>
      <c r="BX45" s="808"/>
      <c r="BY45" s="808"/>
      <c r="BZ45" s="808"/>
      <c r="CA45" s="808"/>
      <c r="CB45" s="808"/>
      <c r="CC45" s="808"/>
      <c r="CD45" s="808"/>
      <c r="CE45" s="808"/>
      <c r="CF45" s="808"/>
      <c r="CG45" s="808"/>
      <c r="CH45" s="808"/>
      <c r="CI45" s="808"/>
      <c r="CJ45" s="808"/>
      <c r="CK45" s="808"/>
      <c r="CL45" s="808"/>
      <c r="CM45" s="808"/>
      <c r="CN45" s="808"/>
      <c r="CO45" s="808"/>
      <c r="CP45" s="808"/>
      <c r="CQ45" s="808"/>
      <c r="CR45" s="808"/>
      <c r="CS45" s="808"/>
      <c r="CT45" s="808"/>
      <c r="CU45" s="808"/>
      <c r="CV45" s="808"/>
      <c r="CW45" s="808"/>
      <c r="CX45" s="808"/>
      <c r="CY45" s="808"/>
      <c r="CZ45" s="808"/>
      <c r="DA45" s="808"/>
      <c r="DB45" s="808"/>
      <c r="DC45" s="808"/>
      <c r="DD45" s="808"/>
      <c r="DE45" s="808"/>
      <c r="DF45" s="808"/>
      <c r="DG45" s="808"/>
      <c r="DH45" s="808"/>
      <c r="DI45" s="808"/>
      <c r="DJ45" s="808"/>
      <c r="DK45" s="808"/>
      <c r="DL45" s="808"/>
      <c r="DM45" s="808"/>
      <c r="DN45" s="808"/>
      <c r="DO45" s="808"/>
      <c r="DP45" s="808"/>
    </row>
    <row r="46" spans="1:120" ht="26.4">
      <c r="A46" s="821"/>
      <c r="B46" s="811" t="s">
        <v>79</v>
      </c>
      <c r="C46" s="811" t="s">
        <v>5</v>
      </c>
      <c r="D46" s="812" t="s">
        <v>226</v>
      </c>
      <c r="E46" s="812" t="s">
        <v>227</v>
      </c>
      <c r="F46" s="812" t="s">
        <v>228</v>
      </c>
      <c r="G46" s="812" t="s">
        <v>545</v>
      </c>
      <c r="H46" s="812" t="s">
        <v>230</v>
      </c>
      <c r="I46" s="812" t="s">
        <v>231</v>
      </c>
      <c r="J46" s="812" t="s">
        <v>82</v>
      </c>
      <c r="K46" s="808"/>
      <c r="M46" s="808"/>
      <c r="N46" s="808"/>
      <c r="O46" s="808"/>
      <c r="P46" s="808"/>
      <c r="Q46" s="808"/>
      <c r="R46" s="808"/>
      <c r="S46" s="808"/>
      <c r="T46" s="808"/>
      <c r="U46" s="808"/>
      <c r="V46" s="808"/>
      <c r="W46" s="808"/>
      <c r="X46" s="808"/>
      <c r="Y46" s="808"/>
      <c r="Z46" s="808"/>
      <c r="AA46" s="808"/>
      <c r="AB46" s="808"/>
      <c r="AC46" s="808"/>
      <c r="AD46" s="808"/>
      <c r="AE46" s="808"/>
      <c r="AF46" s="808"/>
      <c r="AG46" s="808"/>
      <c r="AH46" s="808"/>
      <c r="AI46" s="808"/>
      <c r="AJ46" s="808"/>
      <c r="AK46" s="808"/>
      <c r="AL46" s="808"/>
      <c r="AM46" s="808"/>
      <c r="AN46" s="808"/>
      <c r="AO46" s="808"/>
      <c r="AP46" s="808"/>
      <c r="AQ46" s="808"/>
      <c r="AR46" s="808"/>
      <c r="AS46" s="808"/>
      <c r="AT46" s="808"/>
      <c r="AU46" s="808"/>
      <c r="AV46" s="808"/>
      <c r="AW46" s="808"/>
      <c r="AX46" s="808"/>
      <c r="AY46" s="808"/>
      <c r="AZ46" s="808"/>
      <c r="BA46" s="808"/>
      <c r="BB46" s="808"/>
      <c r="BC46" s="808"/>
      <c r="BD46" s="808"/>
      <c r="BE46" s="808"/>
      <c r="BF46" s="808"/>
      <c r="BG46" s="808"/>
      <c r="BH46" s="808"/>
      <c r="BI46" s="808"/>
      <c r="BJ46" s="808"/>
      <c r="BK46" s="808"/>
      <c r="BL46" s="808"/>
      <c r="BM46" s="808"/>
      <c r="BN46" s="808"/>
      <c r="BO46" s="808"/>
      <c r="BP46" s="808"/>
      <c r="BQ46" s="808"/>
      <c r="BR46" s="808"/>
      <c r="BS46" s="808"/>
      <c r="BT46" s="808"/>
      <c r="BU46" s="808"/>
      <c r="BV46" s="808"/>
      <c r="BW46" s="808"/>
      <c r="BX46" s="808"/>
      <c r="BY46" s="808"/>
      <c r="BZ46" s="808"/>
      <c r="CA46" s="808"/>
      <c r="CB46" s="808"/>
      <c r="CC46" s="808"/>
      <c r="CD46" s="808"/>
      <c r="CE46" s="808"/>
      <c r="CF46" s="808"/>
      <c r="CG46" s="808"/>
      <c r="CH46" s="808"/>
      <c r="CI46" s="808"/>
      <c r="CJ46" s="808"/>
      <c r="CK46" s="808"/>
      <c r="CL46" s="808"/>
      <c r="CM46" s="808"/>
      <c r="CN46" s="808"/>
      <c r="CO46" s="808"/>
      <c r="CP46" s="808"/>
      <c r="CQ46" s="808"/>
      <c r="CR46" s="808"/>
      <c r="CS46" s="808"/>
      <c r="CT46" s="808"/>
      <c r="CU46" s="808"/>
      <c r="CV46" s="808"/>
      <c r="CW46" s="808"/>
      <c r="CX46" s="808"/>
      <c r="CY46" s="808"/>
      <c r="CZ46" s="808"/>
      <c r="DA46" s="808"/>
      <c r="DB46" s="808"/>
      <c r="DC46" s="808"/>
      <c r="DD46" s="808"/>
      <c r="DE46" s="808"/>
      <c r="DF46" s="808"/>
      <c r="DG46" s="808"/>
      <c r="DH46" s="808"/>
      <c r="DI46" s="808"/>
      <c r="DJ46" s="808"/>
      <c r="DK46" s="808"/>
      <c r="DL46" s="808"/>
      <c r="DM46" s="808"/>
      <c r="DN46" s="808"/>
      <c r="DO46" s="808"/>
      <c r="DP46" s="808"/>
    </row>
    <row r="47" spans="1:120">
      <c r="A47" s="821"/>
      <c r="B47" s="813" t="s">
        <v>947</v>
      </c>
      <c r="C47" s="816" t="s">
        <v>232</v>
      </c>
      <c r="D47" s="815">
        <v>41998819</v>
      </c>
      <c r="E47" s="815">
        <v>21419530.300000001</v>
      </c>
      <c r="F47" s="815">
        <v>25107623</v>
      </c>
      <c r="G47" s="815">
        <v>3626370.1</v>
      </c>
      <c r="H47" s="815">
        <v>5981247.4000000004</v>
      </c>
      <c r="I47" s="815">
        <v>943203</v>
      </c>
      <c r="J47" s="815">
        <f t="shared" ref="J47:J55" si="1">SUM(D47:I47)</f>
        <v>99076792.799999997</v>
      </c>
      <c r="K47" s="823"/>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8"/>
      <c r="AN47" s="808"/>
      <c r="AO47" s="808"/>
      <c r="AP47" s="808"/>
      <c r="AQ47" s="808"/>
      <c r="AR47" s="808"/>
      <c r="AS47" s="808"/>
      <c r="AT47" s="808"/>
      <c r="AU47" s="808"/>
      <c r="AV47" s="808"/>
      <c r="AW47" s="808"/>
      <c r="AX47" s="808"/>
      <c r="AY47" s="808"/>
      <c r="AZ47" s="808"/>
      <c r="BA47" s="808"/>
      <c r="BB47" s="808"/>
      <c r="BC47" s="808"/>
      <c r="BD47" s="808"/>
      <c r="BE47" s="808"/>
      <c r="BF47" s="808"/>
      <c r="BG47" s="808"/>
      <c r="BH47" s="808"/>
      <c r="BI47" s="808"/>
      <c r="BJ47" s="808"/>
      <c r="BK47" s="808"/>
      <c r="BL47" s="808"/>
      <c r="BM47" s="808"/>
      <c r="BN47" s="808"/>
      <c r="BO47" s="808"/>
      <c r="BP47" s="808"/>
      <c r="BQ47" s="808"/>
      <c r="BR47" s="808"/>
      <c r="BS47" s="808"/>
      <c r="BT47" s="808"/>
      <c r="BU47" s="808"/>
      <c r="BV47" s="808"/>
      <c r="BW47" s="808"/>
      <c r="BX47" s="808"/>
      <c r="BY47" s="808"/>
      <c r="BZ47" s="808"/>
      <c r="CA47" s="808"/>
      <c r="CB47" s="808"/>
      <c r="CC47" s="808"/>
      <c r="CD47" s="808"/>
      <c r="CE47" s="808"/>
      <c r="CF47" s="808"/>
      <c r="CG47" s="808"/>
      <c r="CH47" s="808"/>
      <c r="CI47" s="808"/>
      <c r="CJ47" s="808"/>
      <c r="CK47" s="808"/>
      <c r="CL47" s="808"/>
      <c r="CM47" s="808"/>
      <c r="CN47" s="808"/>
      <c r="CO47" s="808"/>
      <c r="CP47" s="808"/>
      <c r="CQ47" s="808"/>
      <c r="CR47" s="808"/>
      <c r="CS47" s="808"/>
      <c r="CT47" s="808"/>
      <c r="CU47" s="808"/>
      <c r="CV47" s="808"/>
      <c r="CW47" s="808"/>
      <c r="CX47" s="808"/>
      <c r="CY47" s="808"/>
      <c r="CZ47" s="808"/>
      <c r="DA47" s="808"/>
      <c r="DB47" s="808"/>
      <c r="DC47" s="808"/>
      <c r="DD47" s="808"/>
      <c r="DE47" s="808"/>
      <c r="DF47" s="808"/>
      <c r="DG47" s="808"/>
      <c r="DH47" s="808"/>
      <c r="DI47" s="808"/>
      <c r="DJ47" s="808"/>
      <c r="DK47" s="808"/>
      <c r="DL47" s="808"/>
      <c r="DM47" s="808"/>
      <c r="DN47" s="808"/>
      <c r="DO47" s="808"/>
      <c r="DP47" s="808"/>
    </row>
    <row r="48" spans="1:120">
      <c r="A48" s="821"/>
      <c r="B48" s="813" t="s">
        <v>950</v>
      </c>
      <c r="C48" s="814" t="s">
        <v>233</v>
      </c>
      <c r="D48" s="815">
        <f>80745528124.66/1000+10000990033.88/1000-2285890.12+9143560.48</f>
        <v>97604188.518539995</v>
      </c>
      <c r="E48" s="815">
        <v>35548112</v>
      </c>
      <c r="F48" s="815">
        <f>147802159242.64/1000-112057</f>
        <v>147690102.24264002</v>
      </c>
      <c r="G48" s="815">
        <f>685420827.84/1000+19039346863.57/1000-149512-2266836.49</f>
        <v>17308419.201410003</v>
      </c>
      <c r="H48" s="815">
        <f>7652055276.9/1000+1721898.56-474734</f>
        <v>8899219.8368999995</v>
      </c>
      <c r="I48" s="815">
        <v>0</v>
      </c>
      <c r="J48" s="815">
        <f t="shared" si="1"/>
        <v>307050041.79949003</v>
      </c>
      <c r="K48" s="808"/>
      <c r="M48" s="808"/>
      <c r="N48" s="808"/>
      <c r="O48" s="808"/>
      <c r="P48" s="808"/>
      <c r="Q48" s="808"/>
      <c r="R48" s="808"/>
      <c r="S48" s="808"/>
      <c r="T48" s="808"/>
      <c r="U48" s="808"/>
      <c r="V48" s="808"/>
      <c r="W48" s="808"/>
      <c r="X48" s="808"/>
      <c r="Y48" s="808"/>
      <c r="Z48" s="808"/>
      <c r="AA48" s="808"/>
      <c r="AB48" s="808"/>
      <c r="AC48" s="808"/>
      <c r="AD48" s="808"/>
      <c r="AE48" s="808"/>
      <c r="AF48" s="808"/>
      <c r="AG48" s="808"/>
      <c r="AH48" s="808"/>
      <c r="AI48" s="808"/>
      <c r="AJ48" s="808"/>
      <c r="AK48" s="808"/>
      <c r="AL48" s="808"/>
      <c r="AM48" s="808"/>
      <c r="AN48" s="808"/>
      <c r="AO48" s="808"/>
      <c r="AP48" s="808"/>
      <c r="AQ48" s="808"/>
      <c r="AR48" s="808"/>
      <c r="AS48" s="808"/>
      <c r="AT48" s="808"/>
      <c r="AU48" s="808"/>
      <c r="AV48" s="808"/>
      <c r="AW48" s="808"/>
      <c r="AX48" s="808"/>
      <c r="AY48" s="808"/>
      <c r="AZ48" s="808"/>
      <c r="BA48" s="808"/>
      <c r="BB48" s="808"/>
      <c r="BC48" s="808"/>
      <c r="BD48" s="808"/>
      <c r="BE48" s="808"/>
      <c r="BF48" s="808"/>
      <c r="BG48" s="808"/>
      <c r="BH48" s="808"/>
      <c r="BI48" s="808"/>
      <c r="BJ48" s="808"/>
      <c r="BK48" s="808"/>
      <c r="BL48" s="808"/>
      <c r="BM48" s="808"/>
      <c r="BN48" s="808"/>
      <c r="BO48" s="808"/>
      <c r="BP48" s="808"/>
      <c r="BQ48" s="808"/>
      <c r="BR48" s="808"/>
      <c r="BS48" s="808"/>
      <c r="BT48" s="808"/>
      <c r="BU48" s="808"/>
      <c r="BV48" s="808"/>
      <c r="BW48" s="808"/>
      <c r="BX48" s="808"/>
      <c r="BY48" s="808"/>
      <c r="BZ48" s="808"/>
      <c r="CA48" s="808"/>
      <c r="CB48" s="808"/>
      <c r="CC48" s="808"/>
      <c r="CD48" s="808"/>
      <c r="CE48" s="808"/>
      <c r="CF48" s="808"/>
      <c r="CG48" s="808"/>
      <c r="CH48" s="808"/>
      <c r="CI48" s="808"/>
      <c r="CJ48" s="808"/>
      <c r="CK48" s="808"/>
      <c r="CL48" s="808"/>
      <c r="CM48" s="808"/>
      <c r="CN48" s="808"/>
      <c r="CO48" s="808"/>
      <c r="CP48" s="808"/>
      <c r="CQ48" s="808"/>
      <c r="CR48" s="808"/>
      <c r="CS48" s="808"/>
      <c r="CT48" s="808"/>
      <c r="CU48" s="808"/>
      <c r="CV48" s="808"/>
      <c r="CW48" s="808"/>
      <c r="CX48" s="808"/>
      <c r="CY48" s="808"/>
      <c r="CZ48" s="808"/>
      <c r="DA48" s="808"/>
      <c r="DB48" s="808"/>
      <c r="DC48" s="808"/>
      <c r="DD48" s="808"/>
      <c r="DE48" s="808"/>
      <c r="DF48" s="808"/>
      <c r="DG48" s="808"/>
      <c r="DH48" s="808"/>
      <c r="DI48" s="808"/>
      <c r="DJ48" s="808"/>
      <c r="DK48" s="808"/>
      <c r="DL48" s="808"/>
      <c r="DM48" s="808"/>
      <c r="DN48" s="808"/>
      <c r="DO48" s="808"/>
      <c r="DP48" s="808"/>
    </row>
    <row r="49" spans="1:120">
      <c r="A49" s="821"/>
      <c r="B49" s="813" t="s">
        <v>961</v>
      </c>
      <c r="C49" s="814" t="s">
        <v>269</v>
      </c>
      <c r="D49" s="815">
        <f>66765199.79+4571780.24</f>
        <v>71336980.030000001</v>
      </c>
      <c r="E49" s="815">
        <v>36811825.5</v>
      </c>
      <c r="F49" s="815">
        <f>138874838566.54/1000-4062325.79</f>
        <v>134812512.77654001</v>
      </c>
      <c r="G49" s="815">
        <f>13638326.53257+139365.47</f>
        <v>13777692.002570001</v>
      </c>
      <c r="H49" s="815">
        <v>7004389.3600000003</v>
      </c>
      <c r="I49" s="815">
        <v>0</v>
      </c>
      <c r="J49" s="815">
        <f t="shared" si="1"/>
        <v>263743399.66911003</v>
      </c>
      <c r="K49" s="808"/>
      <c r="M49" s="808"/>
      <c r="N49" s="808"/>
      <c r="O49" s="808"/>
      <c r="P49" s="808"/>
      <c r="Q49" s="808"/>
      <c r="R49" s="808"/>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8"/>
      <c r="AP49" s="808"/>
      <c r="AQ49" s="808"/>
      <c r="AR49" s="808"/>
      <c r="AS49" s="808"/>
      <c r="AT49" s="808"/>
      <c r="AU49" s="808"/>
      <c r="AV49" s="808"/>
      <c r="AW49" s="808"/>
      <c r="AX49" s="808"/>
      <c r="AY49" s="808"/>
      <c r="AZ49" s="808"/>
      <c r="BA49" s="808"/>
      <c r="BB49" s="808"/>
      <c r="BC49" s="808"/>
      <c r="BD49" s="808"/>
      <c r="BE49" s="808"/>
      <c r="BF49" s="808"/>
      <c r="BG49" s="808"/>
      <c r="BH49" s="808"/>
      <c r="BI49" s="808"/>
      <c r="BJ49" s="808"/>
      <c r="BK49" s="808"/>
      <c r="BL49" s="808"/>
      <c r="BM49" s="808"/>
      <c r="BN49" s="808"/>
      <c r="BO49" s="808"/>
      <c r="BP49" s="808"/>
      <c r="BQ49" s="808"/>
      <c r="BR49" s="808"/>
      <c r="BS49" s="808"/>
      <c r="BT49" s="808"/>
      <c r="BU49" s="808"/>
      <c r="BV49" s="808"/>
      <c r="BW49" s="808"/>
      <c r="BX49" s="808"/>
      <c r="BY49" s="808"/>
      <c r="BZ49" s="808"/>
      <c r="CA49" s="808"/>
      <c r="CB49" s="808"/>
      <c r="CC49" s="808"/>
      <c r="CD49" s="808"/>
      <c r="CE49" s="808"/>
      <c r="CF49" s="808"/>
      <c r="CG49" s="808"/>
      <c r="CH49" s="808"/>
      <c r="CI49" s="808"/>
      <c r="CJ49" s="808"/>
      <c r="CK49" s="808"/>
      <c r="CL49" s="808"/>
      <c r="CM49" s="808"/>
      <c r="CN49" s="808"/>
      <c r="CO49" s="808"/>
      <c r="CP49" s="808"/>
      <c r="CQ49" s="808"/>
      <c r="CR49" s="808"/>
      <c r="CS49" s="808"/>
      <c r="CT49" s="808"/>
      <c r="CU49" s="808"/>
      <c r="CV49" s="808"/>
      <c r="CW49" s="808"/>
      <c r="CX49" s="808"/>
      <c r="CY49" s="808"/>
      <c r="CZ49" s="808"/>
      <c r="DA49" s="808"/>
      <c r="DB49" s="808"/>
      <c r="DC49" s="808"/>
      <c r="DD49" s="808"/>
      <c r="DE49" s="808"/>
      <c r="DF49" s="808"/>
      <c r="DG49" s="808"/>
      <c r="DH49" s="808"/>
      <c r="DI49" s="808"/>
      <c r="DJ49" s="808"/>
      <c r="DK49" s="808"/>
      <c r="DL49" s="808"/>
      <c r="DM49" s="808"/>
      <c r="DN49" s="808"/>
      <c r="DO49" s="808"/>
      <c r="DP49" s="808"/>
    </row>
    <row r="50" spans="1:120">
      <c r="A50" s="821"/>
      <c r="B50" s="813" t="s">
        <v>962</v>
      </c>
      <c r="C50" s="816" t="s">
        <v>235</v>
      </c>
      <c r="D50" s="815">
        <f>+D47+D48-D49</f>
        <v>68266027.488539994</v>
      </c>
      <c r="E50" s="815">
        <f t="shared" ref="E50" si="2">+E47+E48-E49</f>
        <v>20155816.799999997</v>
      </c>
      <c r="F50" s="815">
        <f>+F47+F48-F49</f>
        <v>37985212.466100007</v>
      </c>
      <c r="G50" s="815">
        <f>+G47+G48-G49</f>
        <v>7157097.2988400031</v>
      </c>
      <c r="H50" s="815">
        <f>+H47+H48-H49</f>
        <v>7876077.8768999996</v>
      </c>
      <c r="I50" s="815">
        <f>+I48</f>
        <v>0</v>
      </c>
      <c r="J50" s="815">
        <f t="shared" si="1"/>
        <v>141440231.93037999</v>
      </c>
      <c r="K50" s="847"/>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L50" s="808"/>
      <c r="AM50" s="808"/>
      <c r="AN50" s="808"/>
      <c r="AO50" s="808"/>
      <c r="AP50" s="808"/>
      <c r="AQ50" s="808"/>
      <c r="AR50" s="808"/>
      <c r="AS50" s="808"/>
      <c r="AT50" s="808"/>
      <c r="AU50" s="808"/>
      <c r="AV50" s="808"/>
      <c r="AW50" s="808"/>
      <c r="AX50" s="808"/>
      <c r="AY50" s="808"/>
      <c r="AZ50" s="808"/>
      <c r="BA50" s="808"/>
      <c r="BB50" s="808"/>
      <c r="BC50" s="808"/>
      <c r="BD50" s="808"/>
      <c r="BE50" s="808"/>
      <c r="BF50" s="808"/>
      <c r="BG50" s="808"/>
      <c r="BH50" s="808"/>
      <c r="BI50" s="808"/>
      <c r="BJ50" s="808"/>
      <c r="BK50" s="808"/>
      <c r="BL50" s="808"/>
      <c r="BM50" s="808"/>
      <c r="BN50" s="808"/>
      <c r="BO50" s="808"/>
      <c r="BP50" s="808"/>
      <c r="BQ50" s="808"/>
      <c r="BR50" s="808"/>
      <c r="BS50" s="808"/>
      <c r="BT50" s="808"/>
      <c r="BU50" s="808"/>
      <c r="BV50" s="808"/>
      <c r="BW50" s="808"/>
      <c r="BX50" s="808"/>
      <c r="BY50" s="808"/>
      <c r="BZ50" s="808"/>
      <c r="CA50" s="808"/>
      <c r="CB50" s="808"/>
      <c r="CC50" s="808"/>
      <c r="CD50" s="808"/>
      <c r="CE50" s="808"/>
      <c r="CF50" s="808"/>
      <c r="CG50" s="808"/>
      <c r="CH50" s="808"/>
      <c r="CI50" s="808"/>
      <c r="CJ50" s="808"/>
      <c r="CK50" s="808"/>
      <c r="CL50" s="808"/>
      <c r="CM50" s="808"/>
      <c r="CN50" s="808"/>
      <c r="CO50" s="808"/>
      <c r="CP50" s="808"/>
      <c r="CQ50" s="808"/>
      <c r="CR50" s="808"/>
      <c r="CS50" s="808"/>
      <c r="CT50" s="808"/>
      <c r="CU50" s="808"/>
      <c r="CV50" s="808"/>
      <c r="CW50" s="808"/>
      <c r="CX50" s="808"/>
      <c r="CY50" s="808"/>
      <c r="CZ50" s="808"/>
      <c r="DA50" s="808"/>
      <c r="DB50" s="808"/>
      <c r="DC50" s="808"/>
      <c r="DD50" s="808"/>
      <c r="DE50" s="808"/>
      <c r="DF50" s="808"/>
      <c r="DG50" s="808"/>
      <c r="DH50" s="808"/>
      <c r="DI50" s="808"/>
      <c r="DJ50" s="808"/>
      <c r="DK50" s="808"/>
      <c r="DL50" s="808"/>
      <c r="DM50" s="808"/>
      <c r="DN50" s="808"/>
      <c r="DO50" s="808"/>
      <c r="DP50" s="808"/>
    </row>
    <row r="51" spans="1:120">
      <c r="A51" s="821"/>
      <c r="B51" s="813" t="s">
        <v>963</v>
      </c>
      <c r="C51" s="814" t="s">
        <v>236</v>
      </c>
      <c r="D51" s="815">
        <v>0</v>
      </c>
      <c r="E51" s="815">
        <v>0</v>
      </c>
      <c r="F51" s="815">
        <v>132690.01271000001</v>
      </c>
      <c r="G51" s="815">
        <f>(134207847.52+5297123.1)/1000</f>
        <v>139504.97062000001</v>
      </c>
      <c r="H51" s="815">
        <f>584210970.32/1000</f>
        <v>584210.97032000008</v>
      </c>
      <c r="I51" s="815">
        <v>0</v>
      </c>
      <c r="J51" s="815">
        <f t="shared" si="1"/>
        <v>856405.95365000004</v>
      </c>
      <c r="K51" s="453"/>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8"/>
      <c r="AY51" s="808"/>
      <c r="AZ51" s="808"/>
      <c r="BA51" s="808"/>
      <c r="BB51" s="808"/>
      <c r="BC51" s="808"/>
      <c r="BD51" s="808"/>
      <c r="BE51" s="808"/>
      <c r="BF51" s="808"/>
      <c r="BG51" s="808"/>
      <c r="BH51" s="808"/>
      <c r="BI51" s="808"/>
      <c r="BJ51" s="808"/>
      <c r="BK51" s="808"/>
      <c r="BL51" s="808"/>
      <c r="BM51" s="808"/>
      <c r="BN51" s="808"/>
      <c r="BO51" s="808"/>
      <c r="BP51" s="808"/>
      <c r="BQ51" s="808"/>
      <c r="BR51" s="808"/>
      <c r="BS51" s="808"/>
      <c r="BT51" s="808"/>
      <c r="BU51" s="808"/>
      <c r="BV51" s="808"/>
      <c r="BW51" s="808"/>
      <c r="BX51" s="808"/>
      <c r="BY51" s="808"/>
      <c r="BZ51" s="808"/>
      <c r="CA51" s="808"/>
      <c r="CB51" s="808"/>
      <c r="CC51" s="808"/>
      <c r="CD51" s="808"/>
      <c r="CE51" s="808"/>
      <c r="CF51" s="808"/>
      <c r="CG51" s="808"/>
      <c r="CH51" s="808"/>
      <c r="CI51" s="808"/>
      <c r="CJ51" s="808"/>
      <c r="CK51" s="808"/>
      <c r="CL51" s="808"/>
      <c r="CM51" s="808"/>
      <c r="CN51" s="808"/>
      <c r="CO51" s="808"/>
      <c r="CP51" s="808"/>
      <c r="CQ51" s="808"/>
      <c r="CR51" s="808"/>
      <c r="CS51" s="808"/>
      <c r="CT51" s="808"/>
      <c r="CU51" s="808"/>
      <c r="CV51" s="808"/>
      <c r="CW51" s="808"/>
      <c r="CX51" s="808"/>
      <c r="CY51" s="808"/>
      <c r="CZ51" s="808"/>
      <c r="DA51" s="808"/>
      <c r="DB51" s="808"/>
      <c r="DC51" s="808"/>
      <c r="DD51" s="808"/>
      <c r="DE51" s="808"/>
      <c r="DF51" s="808"/>
      <c r="DG51" s="808"/>
      <c r="DH51" s="808"/>
      <c r="DI51" s="808"/>
      <c r="DJ51" s="808"/>
      <c r="DK51" s="808"/>
      <c r="DL51" s="808"/>
      <c r="DM51" s="808"/>
      <c r="DN51" s="808"/>
      <c r="DO51" s="808"/>
      <c r="DP51" s="808"/>
    </row>
    <row r="52" spans="1:120">
      <c r="A52" s="821"/>
      <c r="B52" s="813" t="s">
        <v>964</v>
      </c>
      <c r="C52" s="814" t="s">
        <v>237</v>
      </c>
      <c r="D52" s="815">
        <v>0</v>
      </c>
      <c r="E52" s="815">
        <v>0</v>
      </c>
      <c r="F52" s="815">
        <v>0</v>
      </c>
      <c r="G52" s="815">
        <v>0</v>
      </c>
      <c r="H52" s="815">
        <v>0</v>
      </c>
      <c r="I52" s="815">
        <v>0</v>
      </c>
      <c r="J52" s="815">
        <f t="shared" si="1"/>
        <v>0</v>
      </c>
      <c r="K52" s="453"/>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8"/>
      <c r="AK52" s="808"/>
      <c r="AL52" s="808"/>
      <c r="AM52" s="808"/>
      <c r="AN52" s="808"/>
      <c r="AO52" s="808"/>
      <c r="AP52" s="808"/>
      <c r="AQ52" s="808"/>
      <c r="AR52" s="808"/>
      <c r="AS52" s="808"/>
      <c r="AT52" s="808"/>
      <c r="AU52" s="808"/>
      <c r="AV52" s="808"/>
      <c r="AW52" s="808"/>
      <c r="AX52" s="808"/>
      <c r="AY52" s="808"/>
      <c r="AZ52" s="808"/>
      <c r="BA52" s="808"/>
      <c r="BB52" s="808"/>
      <c r="BC52" s="808"/>
      <c r="BD52" s="808"/>
      <c r="BE52" s="808"/>
      <c r="BF52" s="808"/>
      <c r="BG52" s="808"/>
      <c r="BH52" s="808"/>
      <c r="BI52" s="808"/>
      <c r="BJ52" s="808"/>
      <c r="BK52" s="808"/>
      <c r="BL52" s="808"/>
      <c r="BM52" s="808"/>
      <c r="BN52" s="808"/>
      <c r="BO52" s="808"/>
      <c r="BP52" s="808"/>
      <c r="BQ52" s="808"/>
      <c r="BR52" s="808"/>
      <c r="BS52" s="808"/>
      <c r="BT52" s="808"/>
      <c r="BU52" s="808"/>
      <c r="BV52" s="808"/>
      <c r="BW52" s="808"/>
      <c r="BX52" s="808"/>
      <c r="BY52" s="808"/>
      <c r="BZ52" s="808"/>
      <c r="CA52" s="808"/>
      <c r="CB52" s="808"/>
      <c r="CC52" s="808"/>
      <c r="CD52" s="808"/>
      <c r="CE52" s="808"/>
      <c r="CF52" s="808"/>
      <c r="CG52" s="808"/>
      <c r="CH52" s="808"/>
      <c r="CI52" s="808"/>
      <c r="CJ52" s="808"/>
      <c r="CK52" s="808"/>
      <c r="CL52" s="808"/>
      <c r="CM52" s="808"/>
      <c r="CN52" s="808"/>
      <c r="CO52" s="808"/>
      <c r="CP52" s="808"/>
      <c r="CQ52" s="808"/>
      <c r="CR52" s="808"/>
      <c r="CS52" s="808"/>
      <c r="CT52" s="808"/>
      <c r="CU52" s="808"/>
      <c r="CV52" s="808"/>
      <c r="CW52" s="808"/>
      <c r="CX52" s="808"/>
      <c r="CY52" s="808"/>
      <c r="CZ52" s="808"/>
      <c r="DA52" s="808"/>
      <c r="DB52" s="808"/>
      <c r="DC52" s="808"/>
      <c r="DD52" s="808"/>
      <c r="DE52" s="808"/>
      <c r="DF52" s="808"/>
      <c r="DG52" s="808"/>
      <c r="DH52" s="808"/>
      <c r="DI52" s="808"/>
      <c r="DJ52" s="808"/>
      <c r="DK52" s="808"/>
      <c r="DL52" s="808"/>
      <c r="DM52" s="808"/>
      <c r="DN52" s="808"/>
      <c r="DO52" s="808"/>
      <c r="DP52" s="808"/>
    </row>
    <row r="53" spans="1:120">
      <c r="A53" s="821"/>
      <c r="B53" s="813" t="s">
        <v>965</v>
      </c>
      <c r="C53" s="814" t="s">
        <v>1222</v>
      </c>
      <c r="D53" s="815">
        <f>+D50-D51</f>
        <v>68266027.488539994</v>
      </c>
      <c r="E53" s="815">
        <f>+E50-E51</f>
        <v>20155816.799999997</v>
      </c>
      <c r="F53" s="815">
        <f>+F50-F51</f>
        <v>37852522.45339001</v>
      </c>
      <c r="G53" s="815">
        <f>+G50-G51</f>
        <v>7017592.3282200033</v>
      </c>
      <c r="H53" s="815">
        <f>+H50-H51</f>
        <v>7291866.9065799993</v>
      </c>
      <c r="I53" s="815">
        <f t="shared" ref="I53" si="3">+I50-I51</f>
        <v>0</v>
      </c>
      <c r="J53" s="815">
        <f t="shared" si="1"/>
        <v>140583825.97673002</v>
      </c>
      <c r="K53" s="453"/>
      <c r="M53" s="808"/>
      <c r="N53" s="808"/>
      <c r="O53" s="808"/>
      <c r="P53" s="808"/>
      <c r="Q53" s="808"/>
      <c r="R53" s="808"/>
      <c r="S53" s="808"/>
      <c r="T53" s="808"/>
      <c r="U53" s="808"/>
      <c r="V53" s="808"/>
      <c r="W53" s="808"/>
      <c r="X53" s="808"/>
      <c r="Y53" s="808"/>
      <c r="Z53" s="808"/>
      <c r="AA53" s="808"/>
      <c r="AB53" s="808"/>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08"/>
      <c r="AY53" s="808"/>
      <c r="AZ53" s="808"/>
      <c r="BA53" s="808"/>
      <c r="BB53" s="808"/>
      <c r="BC53" s="808"/>
      <c r="BD53" s="808"/>
      <c r="BE53" s="808"/>
      <c r="BF53" s="808"/>
      <c r="BG53" s="808"/>
      <c r="BH53" s="808"/>
      <c r="BI53" s="808"/>
      <c r="BJ53" s="808"/>
      <c r="BK53" s="808"/>
      <c r="BL53" s="808"/>
      <c r="BM53" s="808"/>
      <c r="BN53" s="808"/>
      <c r="BO53" s="808"/>
      <c r="BP53" s="808"/>
      <c r="BQ53" s="808"/>
      <c r="BR53" s="808"/>
      <c r="BS53" s="808"/>
      <c r="BT53" s="808"/>
      <c r="BU53" s="808"/>
      <c r="BV53" s="808"/>
      <c r="BW53" s="808"/>
      <c r="BX53" s="808"/>
      <c r="BY53" s="808"/>
      <c r="BZ53" s="808"/>
      <c r="CA53" s="808"/>
      <c r="CB53" s="808"/>
      <c r="CC53" s="808"/>
      <c r="CD53" s="808"/>
      <c r="CE53" s="808"/>
      <c r="CF53" s="808"/>
      <c r="CG53" s="808"/>
      <c r="CH53" s="808"/>
      <c r="CI53" s="808"/>
      <c r="CJ53" s="808"/>
      <c r="CK53" s="808"/>
      <c r="CL53" s="808"/>
      <c r="CM53" s="808"/>
      <c r="CN53" s="808"/>
      <c r="CO53" s="808"/>
      <c r="CP53" s="808"/>
      <c r="CQ53" s="808"/>
      <c r="CR53" s="808"/>
      <c r="CS53" s="808"/>
      <c r="CT53" s="808"/>
      <c r="CU53" s="808"/>
      <c r="CV53" s="808"/>
      <c r="CW53" s="808"/>
      <c r="CX53" s="808"/>
      <c r="CY53" s="808"/>
      <c r="CZ53" s="808"/>
      <c r="DA53" s="808"/>
      <c r="DB53" s="808"/>
      <c r="DC53" s="808"/>
      <c r="DD53" s="808"/>
      <c r="DE53" s="808"/>
      <c r="DF53" s="808"/>
      <c r="DG53" s="808"/>
      <c r="DH53" s="808"/>
      <c r="DI53" s="808"/>
      <c r="DJ53" s="808"/>
      <c r="DK53" s="808"/>
      <c r="DL53" s="808"/>
      <c r="DM53" s="808"/>
      <c r="DN53" s="808"/>
      <c r="DO53" s="808"/>
      <c r="DP53" s="808"/>
    </row>
    <row r="54" spans="1:120">
      <c r="A54" s="821"/>
      <c r="B54" s="813" t="s">
        <v>1223</v>
      </c>
      <c r="C54" s="814" t="s">
        <v>194</v>
      </c>
      <c r="D54" s="815">
        <f>+D47</f>
        <v>41998819</v>
      </c>
      <c r="E54" s="815">
        <f>+E47</f>
        <v>21419530.300000001</v>
      </c>
      <c r="F54" s="815">
        <f>+F47</f>
        <v>25107623</v>
      </c>
      <c r="G54" s="815">
        <f>+G47</f>
        <v>3626370.1</v>
      </c>
      <c r="H54" s="815">
        <f>+H47</f>
        <v>5981247.4000000004</v>
      </c>
      <c r="I54" s="815">
        <f t="shared" ref="I54" si="4">+I47</f>
        <v>943203</v>
      </c>
      <c r="J54" s="815">
        <f t="shared" si="1"/>
        <v>99076792.799999997</v>
      </c>
      <c r="K54" s="453"/>
      <c r="M54" s="808"/>
      <c r="N54" s="808"/>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808"/>
      <c r="AN54" s="808"/>
      <c r="AO54" s="808"/>
      <c r="AP54" s="808"/>
      <c r="AQ54" s="808"/>
      <c r="AR54" s="808"/>
      <c r="AS54" s="808"/>
      <c r="AT54" s="808"/>
      <c r="AU54" s="808"/>
      <c r="AV54" s="808"/>
      <c r="AW54" s="808"/>
      <c r="AX54" s="808"/>
      <c r="AY54" s="808"/>
      <c r="AZ54" s="808"/>
      <c r="BA54" s="808"/>
      <c r="BB54" s="808"/>
      <c r="BC54" s="808"/>
      <c r="BD54" s="808"/>
      <c r="BE54" s="808"/>
      <c r="BF54" s="808"/>
      <c r="BG54" s="808"/>
      <c r="BH54" s="808"/>
      <c r="BI54" s="808"/>
      <c r="BJ54" s="808"/>
      <c r="BK54" s="808"/>
      <c r="BL54" s="808"/>
      <c r="BM54" s="808"/>
      <c r="BN54" s="808"/>
      <c r="BO54" s="808"/>
      <c r="BP54" s="808"/>
      <c r="BQ54" s="808"/>
      <c r="BR54" s="808"/>
      <c r="BS54" s="808"/>
      <c r="BT54" s="808"/>
      <c r="BU54" s="808"/>
      <c r="BV54" s="808"/>
      <c r="BW54" s="808"/>
      <c r="BX54" s="808"/>
      <c r="BY54" s="808"/>
      <c r="BZ54" s="808"/>
      <c r="CA54" s="808"/>
      <c r="CB54" s="808"/>
      <c r="CC54" s="808"/>
      <c r="CD54" s="808"/>
      <c r="CE54" s="808"/>
      <c r="CF54" s="808"/>
      <c r="CG54" s="808"/>
      <c r="CH54" s="808"/>
      <c r="CI54" s="808"/>
      <c r="CJ54" s="808"/>
      <c r="CK54" s="808"/>
      <c r="CL54" s="808"/>
      <c r="CM54" s="808"/>
      <c r="CN54" s="808"/>
      <c r="CO54" s="808"/>
      <c r="CP54" s="808"/>
      <c r="CQ54" s="808"/>
      <c r="CR54" s="808"/>
      <c r="CS54" s="808"/>
      <c r="CT54" s="808"/>
      <c r="CU54" s="808"/>
      <c r="CV54" s="808"/>
      <c r="CW54" s="808"/>
      <c r="CX54" s="808"/>
      <c r="CY54" s="808"/>
      <c r="CZ54" s="808"/>
      <c r="DA54" s="808"/>
      <c r="DB54" s="808"/>
      <c r="DC54" s="808"/>
      <c r="DD54" s="808"/>
      <c r="DE54" s="808"/>
      <c r="DF54" s="808"/>
      <c r="DG54" s="808"/>
      <c r="DH54" s="808"/>
      <c r="DI54" s="808"/>
      <c r="DJ54" s="808"/>
      <c r="DK54" s="808"/>
      <c r="DL54" s="808"/>
      <c r="DM54" s="808"/>
      <c r="DN54" s="808"/>
      <c r="DO54" s="808"/>
      <c r="DP54" s="808"/>
    </row>
    <row r="55" spans="1:120">
      <c r="A55" s="821"/>
      <c r="B55" s="813" t="s">
        <v>1224</v>
      </c>
      <c r="C55" s="814" t="s">
        <v>195</v>
      </c>
      <c r="D55" s="851">
        <f>+D53</f>
        <v>68266027.488539994</v>
      </c>
      <c r="E55" s="851">
        <f>+E53</f>
        <v>20155816.799999997</v>
      </c>
      <c r="F55" s="851">
        <f>+F53</f>
        <v>37852522.45339001</v>
      </c>
      <c r="G55" s="851">
        <f>+G53</f>
        <v>7017592.3282200033</v>
      </c>
      <c r="H55" s="851">
        <f>+H53</f>
        <v>7291866.9065799993</v>
      </c>
      <c r="I55" s="851">
        <f t="shared" ref="I55" si="5">+I53</f>
        <v>0</v>
      </c>
      <c r="J55" s="815">
        <f t="shared" si="1"/>
        <v>140583825.97673002</v>
      </c>
      <c r="K55" s="453"/>
      <c r="M55" s="808"/>
      <c r="N55" s="808"/>
      <c r="O55" s="808"/>
      <c r="P55" s="808"/>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808"/>
      <c r="AN55" s="808"/>
      <c r="AO55" s="808"/>
      <c r="AP55" s="808"/>
      <c r="AQ55" s="808"/>
      <c r="AR55" s="808"/>
      <c r="AS55" s="808"/>
      <c r="AT55" s="808"/>
      <c r="AU55" s="808"/>
      <c r="AV55" s="808"/>
      <c r="AW55" s="808"/>
      <c r="AX55" s="808"/>
      <c r="AY55" s="808"/>
      <c r="AZ55" s="808"/>
      <c r="BA55" s="808"/>
      <c r="BB55" s="808"/>
      <c r="BC55" s="808"/>
      <c r="BD55" s="808"/>
      <c r="BE55" s="808"/>
      <c r="BF55" s="808"/>
      <c r="BG55" s="808"/>
      <c r="BH55" s="808"/>
      <c r="BI55" s="808"/>
      <c r="BJ55" s="808"/>
      <c r="BK55" s="808"/>
      <c r="BL55" s="808"/>
      <c r="BM55" s="808"/>
      <c r="BN55" s="808"/>
      <c r="BO55" s="808"/>
      <c r="BP55" s="808"/>
      <c r="BQ55" s="808"/>
      <c r="BR55" s="808"/>
      <c r="BS55" s="808"/>
      <c r="BT55" s="808"/>
      <c r="BU55" s="808"/>
      <c r="BV55" s="808"/>
      <c r="BW55" s="808"/>
      <c r="BX55" s="808"/>
      <c r="BY55" s="808"/>
      <c r="BZ55" s="808"/>
      <c r="CA55" s="808"/>
      <c r="CB55" s="808"/>
      <c r="CC55" s="808"/>
      <c r="CD55" s="808"/>
      <c r="CE55" s="808"/>
      <c r="CF55" s="808"/>
      <c r="CG55" s="808"/>
      <c r="CH55" s="808"/>
      <c r="CI55" s="808"/>
      <c r="CJ55" s="808"/>
      <c r="CK55" s="808"/>
      <c r="CL55" s="808"/>
      <c r="CM55" s="808"/>
      <c r="CN55" s="808"/>
      <c r="CO55" s="808"/>
      <c r="CP55" s="808"/>
      <c r="CQ55" s="808"/>
      <c r="CR55" s="808"/>
      <c r="CS55" s="808"/>
      <c r="CT55" s="808"/>
      <c r="CU55" s="808"/>
      <c r="CV55" s="808"/>
      <c r="CW55" s="808"/>
      <c r="CX55" s="808"/>
      <c r="CY55" s="808"/>
      <c r="CZ55" s="808"/>
      <c r="DA55" s="808"/>
      <c r="DB55" s="808"/>
      <c r="DC55" s="808"/>
      <c r="DD55" s="808"/>
      <c r="DE55" s="808"/>
      <c r="DF55" s="808"/>
      <c r="DG55" s="808"/>
      <c r="DH55" s="808"/>
      <c r="DI55" s="808"/>
      <c r="DJ55" s="808"/>
      <c r="DK55" s="808"/>
      <c r="DL55" s="808"/>
      <c r="DM55" s="808"/>
      <c r="DN55" s="808"/>
      <c r="DO55" s="808"/>
      <c r="DP55" s="808"/>
    </row>
    <row r="56" spans="1:120">
      <c r="A56" s="821"/>
      <c r="B56" s="809" t="s">
        <v>1225</v>
      </c>
      <c r="C56" s="847"/>
      <c r="D56" s="214">
        <v>68266027.488539994</v>
      </c>
      <c r="E56" s="214">
        <v>20155816.799999997</v>
      </c>
      <c r="F56" s="214">
        <v>37852522.45339001</v>
      </c>
      <c r="G56" s="214">
        <f>9284428.81822-2266836.49</f>
        <v>7017592.3282200005</v>
      </c>
      <c r="H56" s="214">
        <v>7291866.9065799993</v>
      </c>
      <c r="J56" s="214" t="e">
        <f>+J55-balance!#REF!</f>
        <v>#REF!</v>
      </c>
      <c r="K56" s="453"/>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8"/>
      <c r="AY56" s="808"/>
      <c r="AZ56" s="808"/>
      <c r="BA56" s="808"/>
      <c r="BB56" s="808"/>
      <c r="BC56" s="808"/>
      <c r="BD56" s="808"/>
      <c r="BE56" s="808"/>
      <c r="BF56" s="808"/>
      <c r="BG56" s="808"/>
      <c r="BH56" s="808"/>
      <c r="BI56" s="808"/>
      <c r="BJ56" s="808"/>
      <c r="BK56" s="808"/>
      <c r="BL56" s="808"/>
      <c r="BM56" s="808"/>
      <c r="BN56" s="808"/>
      <c r="BO56" s="808"/>
      <c r="BP56" s="808"/>
      <c r="BQ56" s="808"/>
      <c r="BR56" s="808"/>
      <c r="BS56" s="808"/>
      <c r="BT56" s="808"/>
      <c r="BU56" s="808"/>
      <c r="BV56" s="808"/>
      <c r="BW56" s="808"/>
      <c r="BX56" s="808"/>
      <c r="BY56" s="808"/>
      <c r="BZ56" s="808"/>
      <c r="CA56" s="808"/>
      <c r="CB56" s="808"/>
      <c r="CC56" s="808"/>
      <c r="CD56" s="808"/>
      <c r="CE56" s="808"/>
      <c r="CF56" s="808"/>
      <c r="CG56" s="808"/>
      <c r="CH56" s="808"/>
      <c r="CI56" s="808"/>
      <c r="CJ56" s="808"/>
      <c r="CK56" s="808"/>
      <c r="CL56" s="808"/>
      <c r="CM56" s="808"/>
      <c r="CN56" s="808"/>
      <c r="CO56" s="808"/>
      <c r="CP56" s="808"/>
      <c r="CQ56" s="808"/>
      <c r="CR56" s="808"/>
      <c r="CS56" s="808"/>
      <c r="CT56" s="808"/>
      <c r="CU56" s="808"/>
      <c r="CV56" s="808"/>
      <c r="CW56" s="808"/>
      <c r="CX56" s="808"/>
      <c r="CY56" s="808"/>
      <c r="CZ56" s="808"/>
      <c r="DA56" s="808"/>
      <c r="DB56" s="808"/>
      <c r="DC56" s="808"/>
      <c r="DD56" s="808"/>
      <c r="DE56" s="808"/>
      <c r="DF56" s="808"/>
      <c r="DG56" s="808"/>
      <c r="DH56" s="808"/>
      <c r="DI56" s="808"/>
      <c r="DJ56" s="808"/>
      <c r="DK56" s="808"/>
      <c r="DL56" s="808"/>
      <c r="DM56" s="808"/>
      <c r="DN56" s="808"/>
      <c r="DO56" s="808"/>
      <c r="DP56" s="808"/>
    </row>
    <row r="57" spans="1:120">
      <c r="A57" s="821"/>
      <c r="B57" s="807"/>
      <c r="C57" s="808"/>
      <c r="E57" s="810" t="s">
        <v>1203</v>
      </c>
      <c r="F57" s="214">
        <f>+F56-F55</f>
        <v>0</v>
      </c>
      <c r="G57" s="214">
        <f t="shared" ref="G57:H57" si="6">+G56-G55</f>
        <v>0</v>
      </c>
      <c r="H57" s="214">
        <f t="shared" si="6"/>
        <v>0</v>
      </c>
      <c r="K57" s="453"/>
      <c r="M57" s="808"/>
      <c r="N57" s="808"/>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808"/>
      <c r="AN57" s="808"/>
      <c r="AO57" s="808"/>
      <c r="AP57" s="808"/>
      <c r="AQ57" s="808"/>
      <c r="AR57" s="808"/>
      <c r="AS57" s="808"/>
      <c r="AT57" s="808"/>
      <c r="AU57" s="808"/>
      <c r="AV57" s="808"/>
      <c r="AW57" s="808"/>
      <c r="AX57" s="808"/>
      <c r="AY57" s="808"/>
      <c r="AZ57" s="808"/>
      <c r="BA57" s="808"/>
      <c r="BB57" s="808"/>
      <c r="BC57" s="808"/>
      <c r="BD57" s="808"/>
      <c r="BE57" s="808"/>
      <c r="BF57" s="808"/>
      <c r="BG57" s="808"/>
      <c r="BH57" s="808"/>
      <c r="BI57" s="808"/>
      <c r="BJ57" s="808"/>
      <c r="BK57" s="808"/>
      <c r="BL57" s="808"/>
      <c r="BM57" s="808"/>
      <c r="BN57" s="808"/>
      <c r="BO57" s="808"/>
      <c r="BP57" s="808"/>
      <c r="BQ57" s="808"/>
      <c r="BR57" s="808"/>
      <c r="BS57" s="808"/>
      <c r="BT57" s="808"/>
      <c r="BU57" s="808"/>
      <c r="BV57" s="808"/>
      <c r="BW57" s="808"/>
      <c r="BX57" s="808"/>
      <c r="BY57" s="808"/>
      <c r="BZ57" s="808"/>
      <c r="CA57" s="808"/>
      <c r="CB57" s="808"/>
      <c r="CC57" s="808"/>
      <c r="CD57" s="808"/>
      <c r="CE57" s="808"/>
      <c r="CF57" s="808"/>
      <c r="CG57" s="808"/>
      <c r="CH57" s="808"/>
      <c r="CI57" s="808"/>
      <c r="CJ57" s="808"/>
      <c r="CK57" s="808"/>
      <c r="CL57" s="808"/>
      <c r="CM57" s="808"/>
      <c r="CN57" s="808"/>
      <c r="CO57" s="808"/>
      <c r="CP57" s="808"/>
      <c r="CQ57" s="808"/>
      <c r="CR57" s="808"/>
      <c r="CS57" s="808"/>
      <c r="CT57" s="808"/>
      <c r="CU57" s="808"/>
      <c r="CV57" s="808"/>
      <c r="CW57" s="808"/>
      <c r="CX57" s="808"/>
      <c r="CY57" s="808"/>
      <c r="CZ57" s="808"/>
      <c r="DA57" s="808"/>
      <c r="DB57" s="808"/>
      <c r="DC57" s="808"/>
      <c r="DD57" s="808"/>
      <c r="DE57" s="808"/>
      <c r="DF57" s="808"/>
      <c r="DG57" s="808"/>
      <c r="DH57" s="808"/>
      <c r="DI57" s="808"/>
      <c r="DJ57" s="808"/>
      <c r="DK57" s="808"/>
      <c r="DL57" s="808"/>
      <c r="DM57" s="808"/>
      <c r="DN57" s="808"/>
      <c r="DO57" s="808"/>
      <c r="DP57" s="808"/>
    </row>
    <row r="58" spans="1:120">
      <c r="A58" s="821"/>
      <c r="B58" s="811" t="s">
        <v>79</v>
      </c>
      <c r="C58" s="811" t="s">
        <v>5</v>
      </c>
      <c r="D58" s="812" t="s">
        <v>195</v>
      </c>
      <c r="E58" s="812" t="s">
        <v>195</v>
      </c>
      <c r="K58" s="453"/>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808"/>
      <c r="AQ58" s="808"/>
      <c r="AR58" s="808"/>
      <c r="AS58" s="808"/>
      <c r="AT58" s="808"/>
      <c r="AU58" s="808"/>
      <c r="AV58" s="808"/>
      <c r="AW58" s="808"/>
      <c r="AX58" s="808"/>
      <c r="AY58" s="808"/>
      <c r="AZ58" s="808"/>
      <c r="BA58" s="808"/>
      <c r="BB58" s="808"/>
      <c r="BC58" s="808"/>
      <c r="BD58" s="808"/>
      <c r="BE58" s="808"/>
      <c r="BF58" s="808"/>
      <c r="BG58" s="808"/>
      <c r="BH58" s="808"/>
      <c r="BI58" s="808"/>
      <c r="BJ58" s="808"/>
      <c r="BK58" s="808"/>
      <c r="BL58" s="808"/>
      <c r="BM58" s="808"/>
      <c r="BN58" s="808"/>
      <c r="BO58" s="808"/>
      <c r="BP58" s="808"/>
      <c r="BQ58" s="808"/>
      <c r="BR58" s="808"/>
      <c r="BS58" s="808"/>
      <c r="BT58" s="808"/>
      <c r="BU58" s="808"/>
      <c r="BV58" s="808"/>
      <c r="BW58" s="808"/>
      <c r="BX58" s="808"/>
      <c r="BY58" s="808"/>
      <c r="BZ58" s="808"/>
      <c r="CA58" s="808"/>
      <c r="CB58" s="808"/>
      <c r="CC58" s="808"/>
      <c r="CD58" s="808"/>
      <c r="CE58" s="808"/>
      <c r="CF58" s="808"/>
      <c r="CG58" s="808"/>
      <c r="CH58" s="808"/>
      <c r="CI58" s="808"/>
      <c r="CJ58" s="808"/>
      <c r="CK58" s="808"/>
      <c r="CL58" s="808"/>
      <c r="CM58" s="808"/>
      <c r="CN58" s="808"/>
      <c r="CO58" s="808"/>
      <c r="CP58" s="808"/>
      <c r="CQ58" s="808"/>
      <c r="CR58" s="808"/>
      <c r="CS58" s="808"/>
      <c r="CT58" s="808"/>
      <c r="CU58" s="808"/>
      <c r="CV58" s="808"/>
      <c r="CW58" s="808"/>
      <c r="CX58" s="808"/>
      <c r="CY58" s="808"/>
      <c r="CZ58" s="808"/>
      <c r="DA58" s="808"/>
      <c r="DB58" s="808"/>
      <c r="DC58" s="808"/>
      <c r="DD58" s="808"/>
      <c r="DE58" s="808"/>
      <c r="DF58" s="808"/>
      <c r="DG58" s="808"/>
      <c r="DH58" s="808"/>
      <c r="DI58" s="808"/>
      <c r="DJ58" s="808"/>
      <c r="DK58" s="808"/>
      <c r="DL58" s="808"/>
      <c r="DM58" s="808"/>
      <c r="DN58" s="808"/>
      <c r="DO58" s="808"/>
      <c r="DP58" s="808"/>
    </row>
    <row r="59" spans="1:120">
      <c r="A59" s="821"/>
      <c r="B59" s="813" t="s">
        <v>947</v>
      </c>
      <c r="C59" s="814" t="s">
        <v>244</v>
      </c>
      <c r="D59" s="815">
        <f>+balance!C15/1000</f>
        <v>3127756.7081282046</v>
      </c>
      <c r="E59" s="815">
        <f>4129931-101717.71</f>
        <v>4028213.29</v>
      </c>
      <c r="K59" s="808"/>
      <c r="M59" s="808"/>
      <c r="N59" s="808"/>
      <c r="O59" s="808"/>
      <c r="P59" s="808"/>
      <c r="Q59" s="808"/>
      <c r="R59" s="808"/>
      <c r="S59" s="808"/>
      <c r="T59" s="808"/>
      <c r="U59" s="808"/>
      <c r="V59" s="808"/>
      <c r="W59" s="808"/>
      <c r="X59" s="808"/>
      <c r="Y59" s="808"/>
      <c r="Z59" s="808"/>
      <c r="AA59" s="808"/>
      <c r="AB59" s="808"/>
      <c r="AC59" s="808"/>
      <c r="AD59" s="808"/>
      <c r="AE59" s="808"/>
      <c r="AF59" s="808"/>
      <c r="AG59" s="808"/>
      <c r="AH59" s="808"/>
      <c r="AI59" s="808"/>
      <c r="AJ59" s="808"/>
      <c r="AK59" s="808"/>
      <c r="AL59" s="808"/>
      <c r="AM59" s="808"/>
      <c r="AN59" s="808"/>
      <c r="AO59" s="808"/>
      <c r="AP59" s="808"/>
      <c r="AQ59" s="808"/>
      <c r="AR59" s="808"/>
      <c r="AS59" s="808"/>
      <c r="AT59" s="808"/>
      <c r="AU59" s="808"/>
      <c r="AV59" s="808"/>
      <c r="AW59" s="808"/>
      <c r="AX59" s="808"/>
      <c r="AY59" s="808"/>
      <c r="AZ59" s="808"/>
      <c r="BA59" s="808"/>
      <c r="BB59" s="808"/>
      <c r="BC59" s="808"/>
      <c r="BD59" s="808"/>
      <c r="BE59" s="808"/>
      <c r="BF59" s="808"/>
      <c r="BG59" s="808"/>
      <c r="BH59" s="808"/>
      <c r="BI59" s="808"/>
      <c r="BJ59" s="808"/>
      <c r="BK59" s="808"/>
      <c r="BL59" s="808"/>
      <c r="BM59" s="808"/>
      <c r="BN59" s="808"/>
      <c r="BO59" s="808"/>
      <c r="BP59" s="808"/>
      <c r="BQ59" s="808"/>
      <c r="BR59" s="808"/>
      <c r="BS59" s="808"/>
      <c r="BT59" s="808"/>
      <c r="BU59" s="808"/>
      <c r="BV59" s="808"/>
      <c r="BW59" s="808"/>
      <c r="BX59" s="808"/>
      <c r="BY59" s="808"/>
      <c r="BZ59" s="808"/>
      <c r="CA59" s="808"/>
      <c r="CB59" s="808"/>
      <c r="CC59" s="808"/>
      <c r="CD59" s="808"/>
      <c r="CE59" s="808"/>
      <c r="CF59" s="808"/>
      <c r="CG59" s="808"/>
      <c r="CH59" s="808"/>
      <c r="CI59" s="808"/>
      <c r="CJ59" s="808"/>
      <c r="CK59" s="808"/>
      <c r="CL59" s="808"/>
      <c r="CM59" s="808"/>
      <c r="CN59" s="808"/>
      <c r="CO59" s="808"/>
      <c r="CP59" s="808"/>
      <c r="CQ59" s="808"/>
      <c r="CR59" s="808"/>
      <c r="CS59" s="808"/>
      <c r="CT59" s="808"/>
      <c r="CU59" s="808"/>
      <c r="CV59" s="808"/>
      <c r="CW59" s="808"/>
      <c r="CX59" s="808"/>
      <c r="CY59" s="808"/>
      <c r="CZ59" s="808"/>
      <c r="DA59" s="808"/>
      <c r="DB59" s="808"/>
      <c r="DC59" s="808"/>
      <c r="DD59" s="808"/>
      <c r="DE59" s="808"/>
      <c r="DF59" s="808"/>
      <c r="DG59" s="808"/>
      <c r="DH59" s="808"/>
      <c r="DI59" s="808"/>
      <c r="DJ59" s="808"/>
      <c r="DK59" s="808"/>
      <c r="DL59" s="808"/>
      <c r="DM59" s="808"/>
      <c r="DN59" s="808"/>
      <c r="DO59" s="808"/>
      <c r="DP59" s="808"/>
    </row>
    <row r="60" spans="1:120">
      <c r="A60" s="821"/>
      <c r="B60" s="813" t="s">
        <v>950</v>
      </c>
      <c r="C60" s="814" t="s">
        <v>245</v>
      </c>
      <c r="D60" s="815">
        <v>0</v>
      </c>
      <c r="E60" s="815">
        <v>0</v>
      </c>
      <c r="K60" s="808"/>
      <c r="M60" s="808"/>
      <c r="N60" s="808"/>
      <c r="O60" s="808"/>
      <c r="P60" s="808"/>
      <c r="Q60" s="808"/>
      <c r="R60" s="808"/>
      <c r="S60" s="808"/>
      <c r="T60" s="808"/>
      <c r="U60" s="808"/>
      <c r="V60" s="808"/>
      <c r="W60" s="808"/>
      <c r="X60" s="808"/>
      <c r="Y60" s="808"/>
      <c r="Z60" s="808"/>
      <c r="AA60" s="808"/>
      <c r="AB60" s="808"/>
      <c r="AC60" s="808"/>
      <c r="AD60" s="808"/>
      <c r="AE60" s="808"/>
      <c r="AF60" s="808"/>
      <c r="AG60" s="808"/>
      <c r="AH60" s="808"/>
      <c r="AI60" s="808"/>
      <c r="AJ60" s="808"/>
      <c r="AK60" s="808"/>
      <c r="AL60" s="808"/>
      <c r="AM60" s="808"/>
      <c r="AN60" s="808"/>
      <c r="AO60" s="808"/>
      <c r="AP60" s="808"/>
      <c r="AQ60" s="808"/>
      <c r="AR60" s="808"/>
      <c r="AS60" s="808"/>
      <c r="AT60" s="808"/>
      <c r="AU60" s="808"/>
      <c r="AV60" s="808"/>
      <c r="AW60" s="808"/>
      <c r="AX60" s="808"/>
      <c r="AY60" s="808"/>
      <c r="AZ60" s="808"/>
      <c r="BA60" s="808"/>
      <c r="BB60" s="808"/>
      <c r="BC60" s="808"/>
      <c r="BD60" s="808"/>
      <c r="BE60" s="808"/>
      <c r="BF60" s="808"/>
      <c r="BG60" s="808"/>
      <c r="BH60" s="808"/>
      <c r="BI60" s="808"/>
      <c r="BJ60" s="808"/>
      <c r="BK60" s="808"/>
      <c r="BL60" s="808"/>
      <c r="BM60" s="808"/>
      <c r="BN60" s="808"/>
      <c r="BO60" s="808"/>
      <c r="BP60" s="808"/>
      <c r="BQ60" s="808"/>
      <c r="BR60" s="808"/>
      <c r="BS60" s="808"/>
      <c r="BT60" s="808"/>
      <c r="BU60" s="808"/>
      <c r="BV60" s="808"/>
      <c r="BW60" s="808"/>
      <c r="BX60" s="808"/>
      <c r="BY60" s="808"/>
      <c r="BZ60" s="808"/>
      <c r="CA60" s="808"/>
      <c r="CB60" s="808"/>
      <c r="CC60" s="808"/>
      <c r="CD60" s="808"/>
      <c r="CE60" s="808"/>
      <c r="CF60" s="808"/>
      <c r="CG60" s="808"/>
      <c r="CH60" s="808"/>
      <c r="CI60" s="808"/>
      <c r="CJ60" s="808"/>
      <c r="CK60" s="808"/>
      <c r="CL60" s="808"/>
      <c r="CM60" s="808"/>
      <c r="CN60" s="808"/>
      <c r="CO60" s="808"/>
      <c r="CP60" s="808"/>
      <c r="CQ60" s="808"/>
      <c r="CR60" s="808"/>
      <c r="CS60" s="808"/>
      <c r="CT60" s="808"/>
      <c r="CU60" s="808"/>
      <c r="CV60" s="808"/>
      <c r="CW60" s="808"/>
      <c r="CX60" s="808"/>
      <c r="CY60" s="808"/>
      <c r="CZ60" s="808"/>
      <c r="DA60" s="808"/>
      <c r="DB60" s="808"/>
      <c r="DC60" s="808"/>
      <c r="DD60" s="808"/>
      <c r="DE60" s="808"/>
      <c r="DF60" s="808"/>
      <c r="DG60" s="808"/>
      <c r="DH60" s="808"/>
      <c r="DI60" s="808"/>
      <c r="DJ60" s="808"/>
      <c r="DK60" s="808"/>
      <c r="DL60" s="808"/>
      <c r="DM60" s="808"/>
      <c r="DN60" s="808"/>
      <c r="DO60" s="808"/>
      <c r="DP60" s="808"/>
    </row>
    <row r="61" spans="1:120" ht="26.4" hidden="1">
      <c r="A61" s="821"/>
      <c r="B61" s="813" t="s">
        <v>1226</v>
      </c>
      <c r="C61" s="814" t="s">
        <v>1227</v>
      </c>
      <c r="D61" s="815">
        <v>0</v>
      </c>
      <c r="E61" s="815">
        <v>0</v>
      </c>
      <c r="K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808"/>
      <c r="AJ61" s="808"/>
      <c r="AK61" s="808"/>
      <c r="AL61" s="808"/>
      <c r="AM61" s="808"/>
      <c r="AN61" s="808"/>
      <c r="AO61" s="808"/>
      <c r="AP61" s="808"/>
      <c r="AQ61" s="808"/>
      <c r="AR61" s="808"/>
      <c r="AS61" s="808"/>
      <c r="AT61" s="808"/>
      <c r="AU61" s="808"/>
      <c r="AV61" s="808"/>
      <c r="AW61" s="808"/>
      <c r="AX61" s="808"/>
      <c r="AY61" s="808"/>
      <c r="AZ61" s="808"/>
      <c r="BA61" s="808"/>
      <c r="BB61" s="808"/>
      <c r="BC61" s="808"/>
      <c r="BD61" s="808"/>
      <c r="BE61" s="808"/>
      <c r="BF61" s="808"/>
      <c r="BG61" s="808"/>
      <c r="BH61" s="808"/>
      <c r="BI61" s="808"/>
      <c r="BJ61" s="808"/>
      <c r="BK61" s="808"/>
      <c r="BL61" s="808"/>
      <c r="BM61" s="808"/>
      <c r="BN61" s="808"/>
      <c r="BO61" s="808"/>
      <c r="BP61" s="808"/>
      <c r="BQ61" s="808"/>
      <c r="BR61" s="808"/>
      <c r="BS61" s="808"/>
      <c r="BT61" s="808"/>
      <c r="BU61" s="808"/>
      <c r="BV61" s="808"/>
      <c r="BW61" s="808"/>
      <c r="BX61" s="808"/>
      <c r="BY61" s="808"/>
      <c r="BZ61" s="808"/>
      <c r="CA61" s="808"/>
      <c r="CB61" s="808"/>
      <c r="CC61" s="808"/>
      <c r="CD61" s="808"/>
      <c r="CE61" s="808"/>
      <c r="CF61" s="808"/>
      <c r="CG61" s="808"/>
      <c r="CH61" s="808"/>
      <c r="CI61" s="808"/>
      <c r="CJ61" s="808"/>
      <c r="CK61" s="808"/>
      <c r="CL61" s="808"/>
      <c r="CM61" s="808"/>
      <c r="CN61" s="808"/>
      <c r="CO61" s="808"/>
      <c r="CP61" s="808"/>
      <c r="CQ61" s="808"/>
      <c r="CR61" s="808"/>
      <c r="CS61" s="808"/>
      <c r="CT61" s="808"/>
      <c r="CU61" s="808"/>
      <c r="CV61" s="808"/>
      <c r="CW61" s="808"/>
      <c r="CX61" s="808"/>
      <c r="CY61" s="808"/>
      <c r="CZ61" s="808"/>
      <c r="DA61" s="808"/>
      <c r="DB61" s="808"/>
      <c r="DC61" s="808"/>
      <c r="DD61" s="808"/>
      <c r="DE61" s="808"/>
      <c r="DF61" s="808"/>
      <c r="DG61" s="808"/>
      <c r="DH61" s="808"/>
      <c r="DI61" s="808"/>
      <c r="DJ61" s="808"/>
      <c r="DK61" s="808"/>
      <c r="DL61" s="808"/>
      <c r="DM61" s="808"/>
      <c r="DN61" s="808"/>
      <c r="DO61" s="808"/>
      <c r="DP61" s="808"/>
    </row>
    <row r="62" spans="1:120" hidden="1">
      <c r="A62" s="821"/>
      <c r="B62" s="813" t="s">
        <v>962</v>
      </c>
      <c r="C62" s="814"/>
      <c r="D62" s="815">
        <v>0</v>
      </c>
      <c r="E62" s="815">
        <v>0</v>
      </c>
      <c r="K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8"/>
      <c r="AM62" s="808"/>
      <c r="AN62" s="808"/>
      <c r="AO62" s="808"/>
      <c r="AP62" s="808"/>
      <c r="AQ62" s="808"/>
      <c r="AR62" s="808"/>
      <c r="AS62" s="808"/>
      <c r="AT62" s="808"/>
      <c r="AU62" s="808"/>
      <c r="AV62" s="808"/>
      <c r="AW62" s="808"/>
      <c r="AX62" s="808"/>
      <c r="AY62" s="808"/>
      <c r="AZ62" s="808"/>
      <c r="BA62" s="808"/>
      <c r="BB62" s="808"/>
      <c r="BC62" s="808"/>
      <c r="BD62" s="808"/>
      <c r="BE62" s="808"/>
      <c r="BF62" s="808"/>
      <c r="BG62" s="808"/>
      <c r="BH62" s="808"/>
      <c r="BI62" s="808"/>
      <c r="BJ62" s="808"/>
      <c r="BK62" s="808"/>
      <c r="BL62" s="808"/>
      <c r="BM62" s="808"/>
      <c r="BN62" s="808"/>
      <c r="BO62" s="808"/>
      <c r="BP62" s="808"/>
      <c r="BQ62" s="808"/>
      <c r="BR62" s="808"/>
      <c r="BS62" s="808"/>
      <c r="BT62" s="808"/>
      <c r="BU62" s="808"/>
      <c r="BV62" s="808"/>
      <c r="BW62" s="808"/>
      <c r="BX62" s="808"/>
      <c r="BY62" s="808"/>
      <c r="BZ62" s="808"/>
      <c r="CA62" s="808"/>
      <c r="CB62" s="808"/>
      <c r="CC62" s="808"/>
      <c r="CD62" s="808"/>
      <c r="CE62" s="808"/>
      <c r="CF62" s="808"/>
      <c r="CG62" s="808"/>
      <c r="CH62" s="808"/>
      <c r="CI62" s="808"/>
      <c r="CJ62" s="808"/>
      <c r="CK62" s="808"/>
      <c r="CL62" s="808"/>
      <c r="CM62" s="808"/>
      <c r="CN62" s="808"/>
      <c r="CO62" s="808"/>
      <c r="CP62" s="808"/>
      <c r="CQ62" s="808"/>
      <c r="CR62" s="808"/>
      <c r="CS62" s="808"/>
      <c r="CT62" s="808"/>
      <c r="CU62" s="808"/>
      <c r="CV62" s="808"/>
      <c r="CW62" s="808"/>
      <c r="CX62" s="808"/>
      <c r="CY62" s="808"/>
      <c r="CZ62" s="808"/>
      <c r="DA62" s="808"/>
      <c r="DB62" s="808"/>
      <c r="DC62" s="808"/>
      <c r="DD62" s="808"/>
      <c r="DE62" s="808"/>
      <c r="DF62" s="808"/>
      <c r="DG62" s="808"/>
      <c r="DH62" s="808"/>
      <c r="DI62" s="808"/>
      <c r="DJ62" s="808"/>
      <c r="DK62" s="808"/>
      <c r="DL62" s="808"/>
      <c r="DM62" s="808"/>
      <c r="DN62" s="808"/>
      <c r="DO62" s="808"/>
      <c r="DP62" s="808"/>
    </row>
    <row r="63" spans="1:120">
      <c r="A63" s="821"/>
      <c r="B63" s="813" t="s">
        <v>1201</v>
      </c>
      <c r="C63" s="816" t="s">
        <v>82</v>
      </c>
      <c r="D63" s="815">
        <f>+D59</f>
        <v>3127756.7081282046</v>
      </c>
      <c r="E63" s="815">
        <f>+E59</f>
        <v>4028213.29</v>
      </c>
      <c r="K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808"/>
      <c r="AN63" s="808"/>
      <c r="AO63" s="808"/>
      <c r="AP63" s="808"/>
      <c r="AQ63" s="808"/>
      <c r="AR63" s="808"/>
      <c r="AS63" s="808"/>
      <c r="AT63" s="808"/>
      <c r="AU63" s="808"/>
      <c r="AV63" s="808"/>
      <c r="AW63" s="808"/>
      <c r="AX63" s="808"/>
      <c r="AY63" s="808"/>
      <c r="AZ63" s="808"/>
      <c r="BA63" s="808"/>
      <c r="BB63" s="808"/>
      <c r="BC63" s="808"/>
      <c r="BD63" s="808"/>
      <c r="BE63" s="808"/>
      <c r="BF63" s="808"/>
      <c r="BG63" s="808"/>
      <c r="BH63" s="808"/>
      <c r="BI63" s="808"/>
      <c r="BJ63" s="808"/>
      <c r="BK63" s="808"/>
      <c r="BL63" s="808"/>
      <c r="BM63" s="808"/>
      <c r="BN63" s="808"/>
      <c r="BO63" s="808"/>
      <c r="BP63" s="808"/>
      <c r="BQ63" s="808"/>
      <c r="BR63" s="808"/>
      <c r="BS63" s="808"/>
      <c r="BT63" s="808"/>
      <c r="BU63" s="808"/>
      <c r="BV63" s="808"/>
      <c r="BW63" s="808"/>
      <c r="BX63" s="808"/>
      <c r="BY63" s="808"/>
      <c r="BZ63" s="808"/>
      <c r="CA63" s="808"/>
      <c r="CB63" s="808"/>
      <c r="CC63" s="808"/>
      <c r="CD63" s="808"/>
      <c r="CE63" s="808"/>
      <c r="CF63" s="808"/>
      <c r="CG63" s="808"/>
      <c r="CH63" s="808"/>
      <c r="CI63" s="808"/>
      <c r="CJ63" s="808"/>
      <c r="CK63" s="808"/>
      <c r="CL63" s="808"/>
      <c r="CM63" s="808"/>
      <c r="CN63" s="808"/>
      <c r="CO63" s="808"/>
      <c r="CP63" s="808"/>
      <c r="CQ63" s="808"/>
      <c r="CR63" s="808"/>
      <c r="CS63" s="808"/>
      <c r="CT63" s="808"/>
      <c r="CU63" s="808"/>
      <c r="CV63" s="808"/>
      <c r="CW63" s="808"/>
      <c r="CX63" s="808"/>
      <c r="CY63" s="808"/>
      <c r="CZ63" s="808"/>
      <c r="DA63" s="808"/>
      <c r="DB63" s="808"/>
      <c r="DC63" s="808"/>
      <c r="DD63" s="808"/>
      <c r="DE63" s="808"/>
      <c r="DF63" s="808"/>
      <c r="DG63" s="808"/>
      <c r="DH63" s="808"/>
      <c r="DI63" s="808"/>
      <c r="DJ63" s="808"/>
      <c r="DK63" s="808"/>
      <c r="DL63" s="808"/>
      <c r="DM63" s="808"/>
      <c r="DN63" s="808"/>
      <c r="DO63" s="808"/>
      <c r="DP63" s="808"/>
    </row>
    <row r="64" spans="1:120">
      <c r="A64" s="821" t="s">
        <v>1201</v>
      </c>
      <c r="B64" s="807" t="s">
        <v>1201</v>
      </c>
      <c r="C64" s="808" t="s">
        <v>1201</v>
      </c>
      <c r="D64" s="214">
        <f>+D63-balance!C15/1000</f>
        <v>0</v>
      </c>
      <c r="E64" s="214">
        <f>+E63-balance!D15/1000</f>
        <v>1709718.571124786</v>
      </c>
      <c r="K64" s="847">
        <f>+K65-K69</f>
        <v>-6.9999977946281433E-2</v>
      </c>
      <c r="M64" s="808"/>
      <c r="N64" s="808"/>
      <c r="O64" s="808"/>
      <c r="P64" s="808"/>
      <c r="Q64" s="808"/>
      <c r="R64" s="808"/>
      <c r="S64" s="808"/>
      <c r="T64" s="808"/>
      <c r="U64" s="808"/>
      <c r="V64" s="808"/>
      <c r="W64" s="808"/>
      <c r="X64" s="808"/>
      <c r="Y64" s="808"/>
      <c r="Z64" s="808"/>
      <c r="AA64" s="808"/>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8"/>
      <c r="AX64" s="808"/>
      <c r="AY64" s="808"/>
      <c r="AZ64" s="808"/>
      <c r="BA64" s="808"/>
      <c r="BB64" s="808"/>
      <c r="BC64" s="808"/>
      <c r="BD64" s="808"/>
      <c r="BE64" s="808"/>
      <c r="BF64" s="808"/>
      <c r="BG64" s="808"/>
      <c r="BH64" s="808"/>
      <c r="BI64" s="808"/>
      <c r="BJ64" s="808"/>
      <c r="BK64" s="808"/>
      <c r="BL64" s="808"/>
      <c r="BM64" s="808"/>
      <c r="BN64" s="808"/>
      <c r="BO64" s="808"/>
      <c r="BP64" s="984"/>
      <c r="BQ64" s="984"/>
      <c r="BR64" s="984"/>
      <c r="BS64" s="984"/>
      <c r="BT64" s="984"/>
      <c r="BU64" s="984"/>
      <c r="BV64" s="984"/>
      <c r="BW64" s="984"/>
      <c r="BX64" s="984"/>
      <c r="BY64" s="984"/>
      <c r="BZ64" s="984"/>
      <c r="CA64" s="984"/>
      <c r="CB64" s="984"/>
      <c r="CC64" s="984"/>
      <c r="CD64" s="984"/>
      <c r="CE64" s="984"/>
      <c r="CF64" s="984"/>
      <c r="CG64" s="984"/>
      <c r="CH64" s="984"/>
      <c r="CI64" s="984"/>
      <c r="CJ64" s="984"/>
      <c r="CK64" s="984"/>
      <c r="CL64" s="984"/>
      <c r="CM64" s="984"/>
      <c r="CN64" s="984"/>
      <c r="CO64" s="984"/>
      <c r="CP64" s="984"/>
      <c r="CQ64" s="984"/>
      <c r="CR64" s="984"/>
      <c r="CS64" s="984"/>
      <c r="CT64" s="984"/>
      <c r="CU64" s="984"/>
      <c r="CV64" s="984"/>
      <c r="CW64" s="984"/>
      <c r="CX64" s="984"/>
      <c r="CY64" s="984"/>
      <c r="CZ64" s="984"/>
      <c r="DA64" s="984"/>
      <c r="DB64" s="984"/>
      <c r="DC64" s="984"/>
      <c r="DD64" s="984"/>
      <c r="DE64" s="984"/>
      <c r="DF64" s="984"/>
      <c r="DG64" s="984"/>
      <c r="DH64" s="984"/>
      <c r="DI64" s="984"/>
      <c r="DJ64" s="984"/>
      <c r="DK64" s="984"/>
      <c r="DL64" s="984"/>
      <c r="DM64" s="984"/>
      <c r="DN64" s="984"/>
      <c r="DO64" s="984"/>
      <c r="DP64" s="984"/>
    </row>
    <row r="65" spans="1:120">
      <c r="A65" s="821"/>
      <c r="B65" s="809" t="s">
        <v>1228</v>
      </c>
      <c r="C65" s="808"/>
      <c r="D65" s="214">
        <f>+D66-D69</f>
        <v>0</v>
      </c>
      <c r="E65" s="214">
        <f t="shared" ref="E65:J65" si="7">+E66-E69</f>
        <v>-7.0000004023313522E-2</v>
      </c>
      <c r="F65" s="214">
        <f t="shared" si="7"/>
        <v>0</v>
      </c>
      <c r="G65" s="214">
        <f t="shared" si="7"/>
        <v>0</v>
      </c>
      <c r="H65" s="214">
        <f t="shared" si="7"/>
        <v>0</v>
      </c>
      <c r="I65" s="214">
        <f t="shared" si="7"/>
        <v>0</v>
      </c>
      <c r="J65" s="214">
        <f t="shared" si="7"/>
        <v>0</v>
      </c>
      <c r="K65" s="214">
        <v>79987531.400000006</v>
      </c>
      <c r="M65" s="808"/>
      <c r="N65" s="808"/>
      <c r="O65" s="808"/>
      <c r="P65" s="808"/>
      <c r="Q65" s="808"/>
      <c r="R65" s="808"/>
      <c r="S65" s="808"/>
      <c r="T65" s="808"/>
      <c r="U65" s="808"/>
      <c r="V65" s="808"/>
      <c r="W65" s="808"/>
      <c r="X65" s="808"/>
      <c r="Y65" s="808"/>
      <c r="Z65" s="808"/>
      <c r="AA65" s="808"/>
      <c r="AB65" s="808"/>
      <c r="AC65" s="808"/>
      <c r="AD65" s="808"/>
      <c r="AE65" s="808"/>
      <c r="AF65" s="808"/>
      <c r="AG65" s="808"/>
      <c r="AH65" s="808"/>
      <c r="AI65" s="808"/>
      <c r="AJ65" s="808"/>
      <c r="AK65" s="808"/>
      <c r="AL65" s="808"/>
      <c r="AM65" s="808"/>
      <c r="AN65" s="808"/>
      <c r="AO65" s="808"/>
      <c r="AP65" s="808"/>
      <c r="AQ65" s="808"/>
      <c r="AR65" s="808"/>
      <c r="AS65" s="808"/>
      <c r="AT65" s="808"/>
      <c r="AU65" s="808"/>
      <c r="AV65" s="808"/>
      <c r="AW65" s="808"/>
      <c r="AX65" s="808"/>
      <c r="AY65" s="808"/>
      <c r="AZ65" s="808"/>
      <c r="BA65" s="808"/>
      <c r="BB65" s="808"/>
      <c r="BC65" s="808"/>
      <c r="BD65" s="808"/>
      <c r="BE65" s="808"/>
      <c r="BF65" s="808"/>
      <c r="BG65" s="808"/>
      <c r="BH65" s="808"/>
      <c r="BI65" s="808"/>
      <c r="BJ65" s="808"/>
      <c r="BK65" s="808"/>
      <c r="BL65" s="808"/>
      <c r="BM65" s="808"/>
      <c r="BN65" s="808"/>
      <c r="BO65" s="808"/>
      <c r="BP65" s="808"/>
      <c r="BQ65" s="808"/>
      <c r="BR65" s="808"/>
      <c r="BS65" s="808"/>
      <c r="BT65" s="808"/>
      <c r="BU65" s="808"/>
      <c r="BV65" s="808"/>
      <c r="BW65" s="808"/>
      <c r="BX65" s="808"/>
      <c r="BY65" s="808"/>
      <c r="BZ65" s="808"/>
      <c r="CA65" s="808"/>
      <c r="CB65" s="808"/>
      <c r="CC65" s="808"/>
      <c r="CD65" s="808"/>
      <c r="CE65" s="808"/>
      <c r="CF65" s="808"/>
      <c r="CG65" s="808"/>
      <c r="CH65" s="808"/>
      <c r="CI65" s="808"/>
      <c r="CJ65" s="808"/>
      <c r="CK65" s="808"/>
      <c r="CL65" s="808"/>
      <c r="CM65" s="808"/>
      <c r="CN65" s="808"/>
      <c r="CO65" s="808"/>
      <c r="CP65" s="808"/>
      <c r="CQ65" s="808"/>
      <c r="CR65" s="808"/>
      <c r="CS65" s="808"/>
      <c r="CT65" s="808"/>
      <c r="CU65" s="808"/>
      <c r="CV65" s="808"/>
      <c r="CW65" s="808"/>
      <c r="CX65" s="808"/>
      <c r="CY65" s="808"/>
      <c r="CZ65" s="808"/>
      <c r="DA65" s="808"/>
      <c r="DB65" s="808"/>
      <c r="DC65" s="808"/>
      <c r="DD65" s="808"/>
      <c r="DE65" s="808"/>
      <c r="DF65" s="808"/>
      <c r="DG65" s="808"/>
      <c r="DH65" s="808"/>
      <c r="DI65" s="808"/>
      <c r="DJ65" s="808"/>
      <c r="DK65" s="808"/>
      <c r="DL65" s="808"/>
      <c r="DM65" s="808"/>
      <c r="DN65" s="808"/>
      <c r="DO65" s="808"/>
      <c r="DP65" s="808"/>
    </row>
    <row r="66" spans="1:120">
      <c r="A66" s="821"/>
      <c r="B66" s="807"/>
      <c r="C66" s="808"/>
      <c r="D66" s="214">
        <v>2576719</v>
      </c>
      <c r="E66" s="214">
        <v>23710434.199999999</v>
      </c>
      <c r="F66" s="214">
        <v>47140075.700000003</v>
      </c>
      <c r="G66" s="214">
        <v>1745621.1</v>
      </c>
      <c r="H66" s="214">
        <v>2929591.3</v>
      </c>
      <c r="I66" s="214">
        <v>1885090.1</v>
      </c>
      <c r="K66" s="818" t="s">
        <v>1203</v>
      </c>
      <c r="M66" s="808"/>
      <c r="N66" s="808"/>
      <c r="O66" s="808"/>
      <c r="P66" s="808"/>
      <c r="Q66" s="808"/>
      <c r="R66" s="808"/>
      <c r="S66" s="808"/>
      <c r="T66" s="808"/>
      <c r="U66" s="808"/>
      <c r="V66" s="808"/>
      <c r="W66" s="808"/>
      <c r="X66" s="808"/>
      <c r="Y66" s="808"/>
      <c r="Z66" s="808"/>
      <c r="AA66" s="808"/>
      <c r="AB66" s="808"/>
      <c r="AC66" s="808"/>
      <c r="AD66" s="808"/>
      <c r="AE66" s="808"/>
      <c r="AF66" s="808"/>
      <c r="AG66" s="808"/>
      <c r="AH66" s="808"/>
      <c r="AI66" s="808"/>
      <c r="AJ66" s="808"/>
      <c r="AK66" s="808"/>
      <c r="AL66" s="808"/>
      <c r="AM66" s="808"/>
      <c r="AN66" s="808"/>
      <c r="AO66" s="808"/>
      <c r="AP66" s="808"/>
      <c r="AQ66" s="808"/>
      <c r="AR66" s="808"/>
      <c r="AS66" s="808"/>
      <c r="AT66" s="808"/>
      <c r="AU66" s="808"/>
      <c r="AV66" s="808"/>
      <c r="AW66" s="808"/>
      <c r="AX66" s="808"/>
      <c r="AY66" s="808"/>
      <c r="AZ66" s="808"/>
      <c r="BA66" s="808"/>
      <c r="BB66" s="808"/>
      <c r="BC66" s="808"/>
      <c r="BD66" s="808"/>
      <c r="BE66" s="808"/>
      <c r="BF66" s="808"/>
      <c r="BG66" s="808"/>
      <c r="BH66" s="808"/>
      <c r="BI66" s="808"/>
      <c r="BJ66" s="808"/>
      <c r="BK66" s="808"/>
      <c r="BL66" s="808"/>
      <c r="BM66" s="808"/>
      <c r="BN66" s="808"/>
      <c r="BO66" s="808"/>
      <c r="BP66" s="808"/>
      <c r="BQ66" s="808"/>
      <c r="BR66" s="808"/>
      <c r="BS66" s="808"/>
      <c r="BT66" s="808"/>
      <c r="BU66" s="808"/>
      <c r="BV66" s="808"/>
      <c r="BW66" s="808"/>
      <c r="BX66" s="808"/>
      <c r="BY66" s="808"/>
      <c r="BZ66" s="808"/>
      <c r="CA66" s="808"/>
      <c r="CB66" s="808"/>
      <c r="CC66" s="808"/>
      <c r="CD66" s="808"/>
      <c r="CE66" s="808"/>
      <c r="CF66" s="808"/>
      <c r="CG66" s="808"/>
      <c r="CH66" s="808"/>
      <c r="CI66" s="808"/>
      <c r="CJ66" s="808"/>
      <c r="CK66" s="808"/>
      <c r="CL66" s="808"/>
      <c r="CM66" s="808"/>
      <c r="CN66" s="808"/>
      <c r="CO66" s="808"/>
      <c r="CP66" s="808"/>
      <c r="CQ66" s="808"/>
      <c r="CR66" s="808"/>
      <c r="CS66" s="808"/>
      <c r="CT66" s="808"/>
      <c r="CU66" s="808"/>
      <c r="CV66" s="808"/>
      <c r="CW66" s="808"/>
      <c r="CX66" s="808"/>
      <c r="CY66" s="808"/>
      <c r="CZ66" s="808"/>
      <c r="DA66" s="808"/>
      <c r="DB66" s="808"/>
      <c r="DC66" s="808"/>
      <c r="DD66" s="808"/>
      <c r="DE66" s="808"/>
      <c r="DF66" s="808"/>
      <c r="DG66" s="808"/>
      <c r="DH66" s="808"/>
      <c r="DI66" s="808"/>
      <c r="DJ66" s="808"/>
      <c r="DK66" s="808"/>
      <c r="DL66" s="808"/>
      <c r="DM66" s="808"/>
      <c r="DN66" s="808"/>
      <c r="DO66" s="808"/>
      <c r="DP66" s="808"/>
    </row>
    <row r="67" spans="1:120" ht="26.4">
      <c r="A67" s="821"/>
      <c r="B67" s="811" t="s">
        <v>79</v>
      </c>
      <c r="C67" s="811" t="s">
        <v>5</v>
      </c>
      <c r="D67" s="812" t="s">
        <v>248</v>
      </c>
      <c r="E67" s="812" t="s">
        <v>249</v>
      </c>
      <c r="F67" s="812" t="s">
        <v>1229</v>
      </c>
      <c r="G67" s="812" t="s">
        <v>251</v>
      </c>
      <c r="H67" s="812" t="s">
        <v>252</v>
      </c>
      <c r="I67" s="812" t="s">
        <v>253</v>
      </c>
      <c r="J67" s="812" t="s">
        <v>254</v>
      </c>
      <c r="K67" s="811" t="s">
        <v>82</v>
      </c>
      <c r="M67" s="808"/>
      <c r="N67" s="808"/>
      <c r="O67" s="808"/>
      <c r="P67" s="808"/>
      <c r="Q67" s="808"/>
      <c r="R67" s="808"/>
      <c r="S67" s="808"/>
      <c r="T67" s="808"/>
      <c r="U67" s="808"/>
      <c r="V67" s="808"/>
      <c r="W67" s="808"/>
      <c r="X67" s="808"/>
      <c r="Y67" s="808"/>
      <c r="Z67" s="808"/>
      <c r="AA67" s="808"/>
      <c r="AB67" s="808"/>
      <c r="AC67" s="808"/>
      <c r="AD67" s="808"/>
      <c r="AE67" s="808"/>
      <c r="AF67" s="808"/>
      <c r="AG67" s="808"/>
      <c r="AH67" s="808"/>
      <c r="AI67" s="808"/>
      <c r="AJ67" s="808"/>
      <c r="AK67" s="808"/>
      <c r="AL67" s="808"/>
      <c r="AM67" s="808"/>
      <c r="AN67" s="808"/>
      <c r="AO67" s="808"/>
      <c r="AP67" s="808"/>
      <c r="AQ67" s="808"/>
      <c r="AR67" s="808"/>
      <c r="AS67" s="808"/>
      <c r="AT67" s="808"/>
      <c r="AU67" s="808"/>
      <c r="AV67" s="808"/>
      <c r="AW67" s="808"/>
      <c r="AX67" s="808"/>
      <c r="AY67" s="808"/>
      <c r="AZ67" s="808"/>
      <c r="BA67" s="808"/>
      <c r="BB67" s="808"/>
      <c r="BC67" s="808"/>
      <c r="BD67" s="808"/>
      <c r="BE67" s="808"/>
      <c r="BF67" s="808"/>
      <c r="BG67" s="808"/>
      <c r="BH67" s="808"/>
      <c r="BI67" s="808"/>
      <c r="BJ67" s="808"/>
      <c r="BK67" s="808"/>
      <c r="BL67" s="808"/>
      <c r="BM67" s="808"/>
      <c r="BN67" s="808"/>
      <c r="BO67" s="808"/>
      <c r="BP67" s="808"/>
      <c r="BQ67" s="808"/>
      <c r="BR67" s="808"/>
      <c r="BS67" s="808"/>
      <c r="BT67" s="808"/>
      <c r="BU67" s="808"/>
      <c r="BV67" s="808"/>
      <c r="BW67" s="808"/>
      <c r="BX67" s="808"/>
      <c r="BY67" s="808"/>
      <c r="BZ67" s="808"/>
      <c r="CA67" s="808"/>
      <c r="CB67" s="808"/>
      <c r="CC67" s="808"/>
      <c r="CD67" s="808"/>
      <c r="CE67" s="808"/>
      <c r="CF67" s="808"/>
      <c r="CG67" s="808"/>
      <c r="CH67" s="808"/>
      <c r="CI67" s="808"/>
      <c r="CJ67" s="808"/>
      <c r="CK67" s="808"/>
      <c r="CL67" s="808"/>
      <c r="CM67" s="808"/>
      <c r="CN67" s="808"/>
      <c r="CO67" s="808"/>
      <c r="CP67" s="808"/>
      <c r="CQ67" s="808"/>
      <c r="CR67" s="808"/>
      <c r="CS67" s="808"/>
      <c r="CT67" s="808"/>
      <c r="CU67" s="808"/>
      <c r="CV67" s="808"/>
      <c r="CW67" s="808"/>
      <c r="CX67" s="808"/>
      <c r="CY67" s="808"/>
      <c r="CZ67" s="808"/>
      <c r="DA67" s="808"/>
      <c r="DB67" s="808"/>
      <c r="DC67" s="808"/>
      <c r="DD67" s="808"/>
      <c r="DE67" s="808"/>
      <c r="DF67" s="808"/>
      <c r="DG67" s="808"/>
      <c r="DH67" s="808"/>
      <c r="DI67" s="808"/>
      <c r="DJ67" s="808"/>
      <c r="DK67" s="808"/>
      <c r="DL67" s="808"/>
      <c r="DM67" s="808"/>
      <c r="DN67" s="808"/>
      <c r="DO67" s="808"/>
      <c r="DP67" s="808"/>
    </row>
    <row r="68" spans="1:120">
      <c r="A68" s="821"/>
      <c r="B68" s="813" t="s">
        <v>947</v>
      </c>
      <c r="C68" s="816" t="s">
        <v>1230</v>
      </c>
      <c r="D68" s="815">
        <v>0</v>
      </c>
      <c r="E68" s="815">
        <v>0</v>
      </c>
      <c r="F68" s="815">
        <v>0</v>
      </c>
      <c r="G68" s="815">
        <v>0</v>
      </c>
      <c r="H68" s="815">
        <v>0</v>
      </c>
      <c r="I68" s="815">
        <v>0</v>
      </c>
      <c r="J68" s="815">
        <v>0</v>
      </c>
      <c r="K68" s="815">
        <v>0</v>
      </c>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808"/>
      <c r="AL68" s="808"/>
      <c r="AM68" s="808"/>
      <c r="AN68" s="808"/>
      <c r="AO68" s="808"/>
      <c r="AP68" s="808"/>
      <c r="AQ68" s="808"/>
      <c r="AR68" s="808"/>
      <c r="AS68" s="808"/>
      <c r="AT68" s="808"/>
      <c r="AU68" s="808"/>
      <c r="AV68" s="808"/>
      <c r="AW68" s="808"/>
      <c r="AX68" s="808"/>
      <c r="AY68" s="808"/>
      <c r="AZ68" s="808"/>
      <c r="BA68" s="808"/>
      <c r="BB68" s="808"/>
      <c r="BC68" s="808"/>
      <c r="BD68" s="808"/>
      <c r="BE68" s="808"/>
      <c r="BF68" s="808"/>
      <c r="BG68" s="808"/>
      <c r="BH68" s="808"/>
      <c r="BI68" s="808"/>
      <c r="BJ68" s="808"/>
      <c r="BK68" s="808"/>
      <c r="BL68" s="808"/>
      <c r="BM68" s="808"/>
      <c r="BN68" s="808"/>
      <c r="BO68" s="808"/>
      <c r="BP68" s="808"/>
      <c r="BQ68" s="808"/>
      <c r="BR68" s="808"/>
      <c r="BS68" s="808"/>
      <c r="BT68" s="808"/>
      <c r="BU68" s="808"/>
      <c r="BV68" s="808"/>
      <c r="BW68" s="808"/>
      <c r="BX68" s="808"/>
      <c r="BY68" s="808"/>
      <c r="BZ68" s="808"/>
      <c r="CA68" s="808"/>
      <c r="CB68" s="808"/>
      <c r="CC68" s="808"/>
      <c r="CD68" s="808"/>
      <c r="CE68" s="808"/>
      <c r="CF68" s="808"/>
      <c r="CG68" s="808"/>
      <c r="CH68" s="808"/>
      <c r="CI68" s="808"/>
      <c r="CJ68" s="808"/>
      <c r="CK68" s="808"/>
      <c r="CL68" s="808"/>
      <c r="CM68" s="808"/>
      <c r="CN68" s="808"/>
      <c r="CO68" s="808"/>
      <c r="CP68" s="808"/>
      <c r="CQ68" s="808"/>
      <c r="CR68" s="808"/>
      <c r="CS68" s="808"/>
      <c r="CT68" s="808"/>
      <c r="CU68" s="808"/>
      <c r="CV68" s="808"/>
      <c r="CW68" s="808"/>
      <c r="CX68" s="808"/>
      <c r="CY68" s="808"/>
      <c r="CZ68" s="808"/>
      <c r="DA68" s="808"/>
      <c r="DB68" s="808"/>
      <c r="DC68" s="808"/>
      <c r="DD68" s="808"/>
      <c r="DE68" s="808"/>
      <c r="DF68" s="808"/>
      <c r="DG68" s="808"/>
      <c r="DH68" s="808"/>
      <c r="DI68" s="808"/>
      <c r="DJ68" s="808"/>
      <c r="DK68" s="808"/>
      <c r="DL68" s="808"/>
      <c r="DM68" s="808"/>
      <c r="DN68" s="808"/>
      <c r="DO68" s="808"/>
      <c r="DP68" s="808"/>
    </row>
    <row r="69" spans="1:120">
      <c r="A69" s="821"/>
      <c r="B69" s="813" t="s">
        <v>150</v>
      </c>
      <c r="C69" s="816" t="s">
        <v>194</v>
      </c>
      <c r="D69" s="852">
        <v>2576719</v>
      </c>
      <c r="E69" s="852">
        <v>23710434.270000003</v>
      </c>
      <c r="F69" s="852">
        <v>47140075.700000003</v>
      </c>
      <c r="G69" s="852">
        <v>1745621.1</v>
      </c>
      <c r="H69" s="852">
        <v>2929591.3</v>
      </c>
      <c r="I69" s="852">
        <v>1885090.1</v>
      </c>
      <c r="J69" s="852">
        <v>0</v>
      </c>
      <c r="K69" s="852">
        <f>SUM(D69:J69)</f>
        <v>79987531.469999984</v>
      </c>
      <c r="L69" s="824">
        <f>+K69+K70-K75-K82</f>
        <v>0</v>
      </c>
      <c r="M69" s="214"/>
      <c r="N69" s="214"/>
      <c r="O69" s="847"/>
      <c r="P69" s="847"/>
      <c r="Q69" s="808"/>
      <c r="R69" s="808"/>
      <c r="S69" s="808"/>
      <c r="T69" s="808"/>
      <c r="U69" s="808"/>
      <c r="V69" s="808"/>
      <c r="W69" s="808"/>
      <c r="X69" s="808"/>
      <c r="Y69" s="808"/>
      <c r="Z69" s="808"/>
      <c r="AA69" s="808"/>
      <c r="AB69" s="808"/>
      <c r="AC69" s="808"/>
      <c r="AD69" s="808"/>
      <c r="AE69" s="808"/>
      <c r="AF69" s="808"/>
      <c r="AG69" s="808"/>
      <c r="AH69" s="808"/>
      <c r="AI69" s="808"/>
      <c r="AJ69" s="808"/>
      <c r="AK69" s="808"/>
      <c r="AL69" s="808"/>
      <c r="AM69" s="808"/>
      <c r="AN69" s="808"/>
      <c r="AO69" s="808"/>
      <c r="AP69" s="808"/>
      <c r="AQ69" s="808"/>
      <c r="AR69" s="808"/>
      <c r="AS69" s="808"/>
      <c r="AT69" s="808"/>
      <c r="AU69" s="808"/>
      <c r="AV69" s="808"/>
      <c r="AW69" s="808"/>
      <c r="AX69" s="808"/>
      <c r="AY69" s="808"/>
      <c r="AZ69" s="808"/>
      <c r="BA69" s="808"/>
      <c r="BB69" s="808"/>
      <c r="BC69" s="808"/>
      <c r="BD69" s="808"/>
      <c r="BE69" s="808"/>
      <c r="BF69" s="808"/>
      <c r="BG69" s="808"/>
      <c r="BH69" s="808"/>
      <c r="BI69" s="808"/>
      <c r="BJ69" s="808"/>
      <c r="BK69" s="808"/>
      <c r="BL69" s="808"/>
      <c r="BM69" s="808"/>
      <c r="BN69" s="808"/>
      <c r="BO69" s="808"/>
      <c r="BP69" s="808"/>
      <c r="BQ69" s="808"/>
      <c r="BR69" s="808"/>
      <c r="BS69" s="808"/>
      <c r="BT69" s="808"/>
      <c r="BU69" s="808"/>
      <c r="BV69" s="808"/>
      <c r="BW69" s="808"/>
      <c r="BX69" s="808"/>
      <c r="BY69" s="808"/>
      <c r="BZ69" s="808"/>
      <c r="CA69" s="808"/>
      <c r="CB69" s="808"/>
      <c r="CC69" s="808"/>
      <c r="CD69" s="808"/>
      <c r="CE69" s="808"/>
      <c r="CF69" s="808"/>
      <c r="CG69" s="808"/>
      <c r="CH69" s="808"/>
      <c r="CI69" s="808"/>
      <c r="CJ69" s="808"/>
      <c r="CK69" s="808"/>
      <c r="CL69" s="808"/>
      <c r="CM69" s="808"/>
      <c r="CN69" s="808"/>
      <c r="CO69" s="808"/>
      <c r="CP69" s="808"/>
      <c r="CQ69" s="808"/>
      <c r="CR69" s="808"/>
      <c r="CS69" s="808"/>
      <c r="CT69" s="808"/>
      <c r="CU69" s="808"/>
      <c r="CV69" s="808"/>
      <c r="CW69" s="808"/>
      <c r="CX69" s="808"/>
      <c r="CY69" s="808"/>
      <c r="CZ69" s="808"/>
      <c r="DA69" s="808"/>
      <c r="DB69" s="808"/>
      <c r="DC69" s="808"/>
      <c r="DD69" s="808"/>
      <c r="DE69" s="808"/>
      <c r="DF69" s="808"/>
      <c r="DG69" s="808"/>
      <c r="DH69" s="808"/>
      <c r="DI69" s="808"/>
      <c r="DJ69" s="808"/>
      <c r="DK69" s="808"/>
      <c r="DL69" s="808"/>
      <c r="DM69" s="808"/>
      <c r="DN69" s="808"/>
      <c r="DO69" s="808"/>
      <c r="DP69" s="808"/>
    </row>
    <row r="70" spans="1:120">
      <c r="A70" s="821"/>
      <c r="B70" s="813" t="s">
        <v>948</v>
      </c>
      <c r="C70" s="814" t="s">
        <v>233</v>
      </c>
      <c r="D70" s="815">
        <v>0</v>
      </c>
      <c r="E70" s="815">
        <f>SUM(E71:E74)</f>
        <v>19636328.658320002</v>
      </c>
      <c r="F70" s="815">
        <f t="shared" ref="F70:J70" si="8">SUM(F71:F74)</f>
        <v>17778134.187350001</v>
      </c>
      <c r="G70" s="815">
        <f t="shared" si="8"/>
        <v>263188.69355000003</v>
      </c>
      <c r="H70" s="815">
        <f t="shared" si="8"/>
        <v>453060.25153000001</v>
      </c>
      <c r="I70" s="815">
        <f t="shared" si="8"/>
        <v>425339.22580999997</v>
      </c>
      <c r="J70" s="815">
        <f t="shared" si="8"/>
        <v>0</v>
      </c>
      <c r="K70" s="815">
        <f t="shared" ref="K70:K92" si="9">SUM(D70:J70)</f>
        <v>38556051.016559996</v>
      </c>
      <c r="L70" s="214">
        <v>112704885.09999999</v>
      </c>
      <c r="M70" s="808"/>
      <c r="N70" s="808"/>
      <c r="O70" s="808"/>
      <c r="P70" s="808"/>
      <c r="Q70" s="808"/>
      <c r="R70" s="808"/>
      <c r="S70" s="808"/>
      <c r="T70" s="808"/>
      <c r="U70" s="808"/>
      <c r="V70" s="808"/>
      <c r="W70" s="808"/>
      <c r="X70" s="808"/>
      <c r="Y70" s="808"/>
      <c r="Z70" s="808"/>
      <c r="AA70" s="808"/>
      <c r="AB70" s="808"/>
      <c r="AC70" s="808"/>
      <c r="AD70" s="808"/>
      <c r="AE70" s="808"/>
      <c r="AF70" s="808"/>
      <c r="AG70" s="808"/>
      <c r="AH70" s="808"/>
      <c r="AI70" s="808"/>
      <c r="AJ70" s="808"/>
      <c r="AK70" s="808"/>
      <c r="AL70" s="808"/>
      <c r="AM70" s="808"/>
      <c r="AN70" s="808"/>
      <c r="AO70" s="808"/>
      <c r="AP70" s="808"/>
      <c r="AQ70" s="808"/>
      <c r="AR70" s="808"/>
      <c r="AS70" s="808"/>
      <c r="AT70" s="808"/>
      <c r="AU70" s="808"/>
      <c r="AV70" s="808"/>
      <c r="AW70" s="808"/>
      <c r="AX70" s="808"/>
      <c r="AY70" s="808"/>
      <c r="AZ70" s="808"/>
      <c r="BA70" s="808"/>
      <c r="BB70" s="808"/>
      <c r="BC70" s="808"/>
      <c r="BD70" s="808"/>
      <c r="BE70" s="808"/>
      <c r="BF70" s="808"/>
      <c r="BG70" s="808"/>
      <c r="BH70" s="808"/>
      <c r="BI70" s="808"/>
      <c r="BJ70" s="808"/>
      <c r="BK70" s="808"/>
      <c r="BL70" s="808"/>
      <c r="BM70" s="808"/>
      <c r="BN70" s="808"/>
      <c r="BO70" s="808"/>
      <c r="BP70" s="808"/>
      <c r="BQ70" s="808"/>
      <c r="BR70" s="808"/>
      <c r="BS70" s="808"/>
      <c r="BT70" s="808"/>
      <c r="BU70" s="808"/>
      <c r="BV70" s="808"/>
      <c r="BW70" s="808"/>
      <c r="BX70" s="808"/>
      <c r="BY70" s="808"/>
      <c r="BZ70" s="808"/>
      <c r="CA70" s="808"/>
      <c r="CB70" s="808"/>
      <c r="CC70" s="808"/>
      <c r="CD70" s="808"/>
      <c r="CE70" s="808"/>
      <c r="CF70" s="808"/>
      <c r="CG70" s="808"/>
      <c r="CH70" s="808"/>
      <c r="CI70" s="808"/>
      <c r="CJ70" s="808"/>
      <c r="CK70" s="808"/>
      <c r="CL70" s="808"/>
      <c r="CM70" s="808"/>
      <c r="CN70" s="808"/>
      <c r="CO70" s="808"/>
      <c r="CP70" s="808"/>
      <c r="CQ70" s="808"/>
      <c r="CR70" s="808"/>
      <c r="CS70" s="808"/>
      <c r="CT70" s="808"/>
      <c r="CU70" s="808"/>
      <c r="CV70" s="808"/>
      <c r="CW70" s="808"/>
      <c r="CX70" s="808"/>
      <c r="CY70" s="808"/>
      <c r="CZ70" s="808"/>
      <c r="DA70" s="808"/>
      <c r="DB70" s="808"/>
      <c r="DC70" s="808"/>
      <c r="DD70" s="808"/>
      <c r="DE70" s="808"/>
      <c r="DF70" s="808"/>
      <c r="DG70" s="808"/>
      <c r="DH70" s="808"/>
      <c r="DI70" s="808"/>
      <c r="DJ70" s="808"/>
      <c r="DK70" s="808"/>
      <c r="DL70" s="808"/>
      <c r="DM70" s="808"/>
      <c r="DN70" s="808"/>
      <c r="DO70" s="808"/>
      <c r="DP70" s="808"/>
    </row>
    <row r="71" spans="1:120">
      <c r="A71" s="821"/>
      <c r="B71" s="813" t="s">
        <v>1231</v>
      </c>
      <c r="C71" s="814" t="s">
        <v>257</v>
      </c>
      <c r="D71" s="815">
        <v>0</v>
      </c>
      <c r="E71" s="815">
        <v>0</v>
      </c>
      <c r="F71" s="815">
        <v>0</v>
      </c>
      <c r="G71" s="815">
        <v>0</v>
      </c>
      <c r="H71" s="815">
        <v>0</v>
      </c>
      <c r="I71" s="815">
        <v>0</v>
      </c>
      <c r="J71" s="815">
        <v>0</v>
      </c>
      <c r="K71" s="815">
        <f t="shared" si="9"/>
        <v>0</v>
      </c>
      <c r="L71" s="214">
        <f>+L70-K82</f>
        <v>-4843555.696480006</v>
      </c>
      <c r="M71" s="847"/>
      <c r="N71" s="847"/>
      <c r="O71" s="808"/>
      <c r="P71" s="808"/>
      <c r="Q71" s="808"/>
      <c r="R71" s="808"/>
      <c r="S71" s="808"/>
      <c r="T71" s="808"/>
      <c r="U71" s="808"/>
      <c r="V71" s="808"/>
      <c r="W71" s="808"/>
      <c r="X71" s="808"/>
      <c r="Y71" s="808"/>
      <c r="Z71" s="808"/>
      <c r="AA71" s="808"/>
      <c r="AB71" s="808"/>
      <c r="AC71" s="808"/>
      <c r="AD71" s="808"/>
      <c r="AE71" s="808"/>
      <c r="AF71" s="808"/>
      <c r="AG71" s="808"/>
      <c r="AH71" s="808"/>
      <c r="AI71" s="808"/>
      <c r="AJ71" s="808"/>
      <c r="AK71" s="808"/>
      <c r="AL71" s="808"/>
      <c r="AM71" s="808"/>
      <c r="AN71" s="808"/>
      <c r="AO71" s="808"/>
      <c r="AP71" s="808"/>
      <c r="AQ71" s="808"/>
      <c r="AR71" s="808"/>
      <c r="AS71" s="808"/>
      <c r="AT71" s="808"/>
      <c r="AU71" s="808"/>
      <c r="AV71" s="808"/>
      <c r="AW71" s="808"/>
      <c r="AX71" s="808"/>
      <c r="AY71" s="808"/>
      <c r="AZ71" s="808"/>
      <c r="BA71" s="808"/>
      <c r="BB71" s="808"/>
      <c r="BC71" s="808"/>
      <c r="BD71" s="808"/>
      <c r="BE71" s="808"/>
      <c r="BF71" s="808"/>
      <c r="BG71" s="808"/>
      <c r="BH71" s="808"/>
      <c r="BI71" s="808"/>
      <c r="BJ71" s="808"/>
      <c r="BK71" s="808"/>
      <c r="BL71" s="808"/>
      <c r="BM71" s="808"/>
      <c r="BN71" s="808"/>
      <c r="BO71" s="808"/>
      <c r="BP71" s="808"/>
      <c r="BQ71" s="808"/>
      <c r="BR71" s="808"/>
      <c r="BS71" s="808"/>
      <c r="BT71" s="808"/>
      <c r="BU71" s="808"/>
      <c r="BV71" s="808"/>
      <c r="BW71" s="808"/>
      <c r="BX71" s="808"/>
      <c r="BY71" s="808"/>
      <c r="BZ71" s="808"/>
      <c r="CA71" s="808"/>
      <c r="CB71" s="808"/>
      <c r="CC71" s="808"/>
      <c r="CD71" s="808"/>
      <c r="CE71" s="808"/>
      <c r="CF71" s="808"/>
      <c r="CG71" s="808"/>
      <c r="CH71" s="808"/>
      <c r="CI71" s="808"/>
      <c r="CJ71" s="808"/>
      <c r="CK71" s="808"/>
      <c r="CL71" s="808"/>
      <c r="CM71" s="808"/>
      <c r="CN71" s="808"/>
      <c r="CO71" s="808"/>
      <c r="CP71" s="808"/>
      <c r="CQ71" s="808"/>
      <c r="CR71" s="808"/>
      <c r="CS71" s="808"/>
      <c r="CT71" s="808"/>
      <c r="CU71" s="808"/>
      <c r="CV71" s="808"/>
      <c r="CW71" s="808"/>
      <c r="CX71" s="808"/>
      <c r="CY71" s="808"/>
      <c r="CZ71" s="808"/>
      <c r="DA71" s="808"/>
      <c r="DB71" s="808"/>
      <c r="DC71" s="808"/>
      <c r="DD71" s="808"/>
      <c r="DE71" s="808"/>
      <c r="DF71" s="808"/>
      <c r="DG71" s="808"/>
      <c r="DH71" s="808"/>
      <c r="DI71" s="808"/>
      <c r="DJ71" s="808"/>
      <c r="DK71" s="808"/>
      <c r="DL71" s="808"/>
      <c r="DM71" s="808"/>
      <c r="DN71" s="808"/>
      <c r="DO71" s="808"/>
      <c r="DP71" s="808"/>
    </row>
    <row r="72" spans="1:120">
      <c r="A72" s="821"/>
      <c r="B72" s="813" t="s">
        <v>1232</v>
      </c>
      <c r="C72" s="814" t="s">
        <v>258</v>
      </c>
      <c r="D72" s="815">
        <v>0</v>
      </c>
      <c r="E72" s="815">
        <f>19758338.92832-122010.27</f>
        <v>19636328.658320002</v>
      </c>
      <c r="F72" s="815">
        <f>15408384.98735+102912.5+2266836.7</f>
        <v>17778134.187350001</v>
      </c>
      <c r="G72" s="815">
        <f>263188.63355-0.04+0.1</f>
        <v>263188.69355000003</v>
      </c>
      <c r="H72" s="815">
        <f>433829.56153+19230.69</f>
        <v>453060.25153000001</v>
      </c>
      <c r="I72" s="815">
        <f>422747.03581+2591.99+0.2</f>
        <v>425339.22580999997</v>
      </c>
      <c r="J72" s="815">
        <v>0</v>
      </c>
      <c r="K72" s="815">
        <f t="shared" si="9"/>
        <v>38556051.016559996</v>
      </c>
      <c r="M72" s="808"/>
      <c r="N72" s="808"/>
      <c r="O72" s="808"/>
      <c r="P72" s="808"/>
      <c r="Q72" s="808"/>
      <c r="R72" s="808"/>
      <c r="S72" s="808"/>
      <c r="T72" s="808"/>
      <c r="U72" s="808"/>
      <c r="V72" s="808"/>
      <c r="W72" s="808"/>
      <c r="X72" s="808"/>
      <c r="Y72" s="808"/>
      <c r="Z72" s="808"/>
      <c r="AA72" s="808"/>
      <c r="AB72" s="808"/>
      <c r="AC72" s="808"/>
      <c r="AD72" s="808"/>
      <c r="AE72" s="808"/>
      <c r="AF72" s="808"/>
      <c r="AG72" s="808"/>
      <c r="AH72" s="808"/>
      <c r="AI72" s="808"/>
      <c r="AJ72" s="808"/>
      <c r="AK72" s="808"/>
      <c r="AL72" s="808"/>
      <c r="AM72" s="808"/>
      <c r="AN72" s="808"/>
      <c r="AO72" s="808"/>
      <c r="AP72" s="808"/>
      <c r="AQ72" s="808"/>
      <c r="AR72" s="808"/>
      <c r="AS72" s="808"/>
      <c r="AT72" s="808"/>
      <c r="AU72" s="808"/>
      <c r="AV72" s="808"/>
      <c r="AW72" s="808"/>
      <c r="AX72" s="808"/>
      <c r="AY72" s="808"/>
      <c r="AZ72" s="808"/>
      <c r="BA72" s="808"/>
      <c r="BB72" s="808"/>
      <c r="BC72" s="808"/>
      <c r="BD72" s="808"/>
      <c r="BE72" s="808"/>
      <c r="BF72" s="808"/>
      <c r="BG72" s="808"/>
      <c r="BH72" s="808"/>
      <c r="BI72" s="808"/>
      <c r="BJ72" s="808"/>
      <c r="BK72" s="808"/>
      <c r="BL72" s="808"/>
      <c r="BM72" s="808"/>
      <c r="BN72" s="808"/>
      <c r="BO72" s="808"/>
      <c r="BP72" s="808"/>
      <c r="BQ72" s="808"/>
      <c r="BR72" s="808"/>
      <c r="BS72" s="808"/>
      <c r="BT72" s="808"/>
      <c r="BU72" s="808"/>
      <c r="BV72" s="808"/>
      <c r="BW72" s="808"/>
      <c r="BX72" s="808"/>
      <c r="BY72" s="808"/>
      <c r="BZ72" s="808"/>
      <c r="CA72" s="808"/>
      <c r="CB72" s="808"/>
      <c r="CC72" s="808"/>
      <c r="CD72" s="808"/>
      <c r="CE72" s="808"/>
      <c r="CF72" s="808"/>
      <c r="CG72" s="808"/>
      <c r="CH72" s="808"/>
      <c r="CI72" s="808"/>
      <c r="CJ72" s="808"/>
      <c r="CK72" s="808"/>
      <c r="CL72" s="808"/>
      <c r="CM72" s="808"/>
      <c r="CN72" s="808"/>
      <c r="CO72" s="808"/>
      <c r="CP72" s="808"/>
      <c r="CQ72" s="808"/>
      <c r="CR72" s="808"/>
      <c r="CS72" s="808"/>
      <c r="CT72" s="808"/>
      <c r="CU72" s="808"/>
      <c r="CV72" s="808"/>
      <c r="CW72" s="808"/>
      <c r="CX72" s="808"/>
      <c r="CY72" s="808"/>
      <c r="CZ72" s="808"/>
      <c r="DA72" s="808"/>
      <c r="DB72" s="808"/>
      <c r="DC72" s="808"/>
      <c r="DD72" s="808"/>
      <c r="DE72" s="808"/>
      <c r="DF72" s="808"/>
      <c r="DG72" s="808"/>
      <c r="DH72" s="808"/>
      <c r="DI72" s="808"/>
      <c r="DJ72" s="808"/>
      <c r="DK72" s="808"/>
      <c r="DL72" s="808"/>
      <c r="DM72" s="808"/>
      <c r="DN72" s="808"/>
      <c r="DO72" s="808"/>
      <c r="DP72" s="808"/>
    </row>
    <row r="73" spans="1:120">
      <c r="A73" s="821"/>
      <c r="B73" s="813" t="s">
        <v>1233</v>
      </c>
      <c r="C73" s="814" t="s">
        <v>259</v>
      </c>
      <c r="D73" s="815">
        <v>0</v>
      </c>
      <c r="E73" s="815">
        <v>0</v>
      </c>
      <c r="F73" s="815">
        <v>0</v>
      </c>
      <c r="G73" s="815">
        <v>0</v>
      </c>
      <c r="H73" s="815">
        <v>0</v>
      </c>
      <c r="I73" s="815">
        <v>0</v>
      </c>
      <c r="J73" s="815">
        <v>0</v>
      </c>
      <c r="K73" s="815">
        <f t="shared" si="9"/>
        <v>0</v>
      </c>
      <c r="L73" s="214">
        <v>8284958.4000000004</v>
      </c>
      <c r="M73" s="214"/>
      <c r="N73" s="214"/>
      <c r="O73" s="214"/>
      <c r="P73" s="214"/>
      <c r="Q73" s="214"/>
      <c r="R73" s="808"/>
      <c r="S73" s="808"/>
      <c r="T73" s="808"/>
      <c r="U73" s="808"/>
      <c r="V73" s="808"/>
      <c r="W73" s="808"/>
      <c r="X73" s="808"/>
      <c r="Y73" s="808"/>
      <c r="Z73" s="808"/>
      <c r="AA73" s="808"/>
      <c r="AB73" s="808"/>
      <c r="AC73" s="808"/>
      <c r="AD73" s="808"/>
      <c r="AE73" s="808"/>
      <c r="AF73" s="808"/>
      <c r="AG73" s="808"/>
      <c r="AH73" s="808"/>
      <c r="AI73" s="808"/>
      <c r="AJ73" s="808"/>
      <c r="AK73" s="808"/>
      <c r="AL73" s="808"/>
      <c r="AM73" s="808"/>
      <c r="AN73" s="808"/>
      <c r="AO73" s="808"/>
      <c r="AP73" s="808"/>
      <c r="AQ73" s="808"/>
      <c r="AR73" s="808"/>
      <c r="AS73" s="808"/>
      <c r="AT73" s="808"/>
      <c r="AU73" s="808"/>
      <c r="AV73" s="808"/>
      <c r="AW73" s="808"/>
      <c r="AX73" s="808"/>
      <c r="AY73" s="808"/>
      <c r="AZ73" s="808"/>
      <c r="BA73" s="808"/>
      <c r="BB73" s="808"/>
      <c r="BC73" s="808"/>
      <c r="BD73" s="808"/>
      <c r="BE73" s="808"/>
      <c r="BF73" s="808"/>
      <c r="BG73" s="808"/>
      <c r="BH73" s="808"/>
      <c r="BI73" s="808"/>
      <c r="BJ73" s="808"/>
      <c r="BK73" s="808"/>
      <c r="BL73" s="808"/>
      <c r="BM73" s="808"/>
      <c r="BN73" s="808"/>
      <c r="BO73" s="808"/>
      <c r="BP73" s="808"/>
      <c r="BQ73" s="808"/>
      <c r="BR73" s="808"/>
      <c r="BS73" s="808"/>
      <c r="BT73" s="808"/>
      <c r="BU73" s="808"/>
      <c r="BV73" s="808"/>
      <c r="BW73" s="808"/>
      <c r="BX73" s="808"/>
      <c r="BY73" s="808"/>
      <c r="BZ73" s="808"/>
      <c r="CA73" s="808"/>
      <c r="CB73" s="808"/>
      <c r="CC73" s="808"/>
      <c r="CD73" s="808"/>
      <c r="CE73" s="808"/>
      <c r="CF73" s="808"/>
      <c r="CG73" s="808"/>
      <c r="CH73" s="808"/>
      <c r="CI73" s="808"/>
      <c r="CJ73" s="808"/>
      <c r="CK73" s="808"/>
      <c r="CL73" s="808"/>
      <c r="CM73" s="808"/>
      <c r="CN73" s="808"/>
      <c r="CO73" s="808"/>
      <c r="CP73" s="808"/>
      <c r="CQ73" s="808"/>
      <c r="CR73" s="808"/>
      <c r="CS73" s="808"/>
      <c r="CT73" s="808"/>
      <c r="CU73" s="808"/>
      <c r="CV73" s="808"/>
      <c r="CW73" s="808"/>
      <c r="CX73" s="808"/>
      <c r="CY73" s="808"/>
      <c r="CZ73" s="808"/>
      <c r="DA73" s="808"/>
      <c r="DB73" s="808"/>
      <c r="DC73" s="808"/>
      <c r="DD73" s="808"/>
      <c r="DE73" s="808"/>
      <c r="DF73" s="808"/>
      <c r="DG73" s="808"/>
      <c r="DH73" s="808"/>
      <c r="DI73" s="808"/>
      <c r="DJ73" s="808"/>
      <c r="DK73" s="808"/>
      <c r="DL73" s="808"/>
      <c r="DM73" s="808"/>
      <c r="DN73" s="808"/>
      <c r="DO73" s="808"/>
      <c r="DP73" s="808"/>
    </row>
    <row r="74" spans="1:120">
      <c r="A74" s="821"/>
      <c r="B74" s="813" t="s">
        <v>1234</v>
      </c>
      <c r="C74" s="814" t="s">
        <v>260</v>
      </c>
      <c r="D74" s="815">
        <v>0</v>
      </c>
      <c r="E74" s="815">
        <v>0</v>
      </c>
      <c r="F74" s="815">
        <v>0</v>
      </c>
      <c r="G74" s="815">
        <v>0</v>
      </c>
      <c r="H74" s="815">
        <v>0</v>
      </c>
      <c r="I74" s="815">
        <v>0</v>
      </c>
      <c r="J74" s="815">
        <v>0</v>
      </c>
      <c r="K74" s="815">
        <f t="shared" si="9"/>
        <v>0</v>
      </c>
      <c r="M74" s="214"/>
      <c r="N74" s="214"/>
      <c r="O74" s="214"/>
      <c r="P74" s="214"/>
      <c r="Q74" s="214"/>
      <c r="R74" s="808"/>
      <c r="S74" s="808"/>
      <c r="T74" s="808"/>
      <c r="U74" s="808"/>
      <c r="V74" s="808"/>
      <c r="W74" s="808"/>
      <c r="X74" s="808"/>
      <c r="Y74" s="808"/>
      <c r="Z74" s="808"/>
      <c r="AA74" s="808"/>
      <c r="AB74" s="808"/>
      <c r="AC74" s="808"/>
      <c r="AD74" s="808"/>
      <c r="AE74" s="808"/>
      <c r="AF74" s="808"/>
      <c r="AG74" s="808"/>
      <c r="AH74" s="808"/>
      <c r="AI74" s="808"/>
      <c r="AJ74" s="808"/>
      <c r="AK74" s="808"/>
      <c r="AL74" s="808"/>
      <c r="AM74" s="808"/>
      <c r="AN74" s="808"/>
      <c r="AO74" s="808"/>
      <c r="AP74" s="808"/>
      <c r="AQ74" s="808"/>
      <c r="AR74" s="808"/>
      <c r="AS74" s="808"/>
      <c r="AT74" s="808"/>
      <c r="AU74" s="808"/>
      <c r="AV74" s="808"/>
      <c r="AW74" s="808"/>
      <c r="AX74" s="808"/>
      <c r="AY74" s="808"/>
      <c r="AZ74" s="808"/>
      <c r="BA74" s="808"/>
      <c r="BB74" s="808"/>
      <c r="BC74" s="808"/>
      <c r="BD74" s="808"/>
      <c r="BE74" s="808"/>
      <c r="BF74" s="808"/>
      <c r="BG74" s="808"/>
      <c r="BH74" s="808"/>
      <c r="BI74" s="808"/>
      <c r="BJ74" s="808"/>
      <c r="BK74" s="808"/>
      <c r="BL74" s="808"/>
      <c r="BM74" s="808"/>
      <c r="BN74" s="808"/>
      <c r="BO74" s="808"/>
      <c r="BP74" s="808"/>
      <c r="BQ74" s="808"/>
      <c r="BR74" s="808"/>
      <c r="BS74" s="808"/>
      <c r="BT74" s="808"/>
      <c r="BU74" s="808"/>
      <c r="BV74" s="808"/>
      <c r="BW74" s="808"/>
      <c r="BX74" s="808"/>
      <c r="BY74" s="808"/>
      <c r="BZ74" s="808"/>
      <c r="CA74" s="808"/>
      <c r="CB74" s="808"/>
      <c r="CC74" s="808"/>
      <c r="CD74" s="808"/>
      <c r="CE74" s="808"/>
      <c r="CF74" s="808"/>
      <c r="CG74" s="808"/>
      <c r="CH74" s="808"/>
      <c r="CI74" s="808"/>
      <c r="CJ74" s="808"/>
      <c r="CK74" s="808"/>
      <c r="CL74" s="808"/>
      <c r="CM74" s="808"/>
      <c r="CN74" s="808"/>
      <c r="CO74" s="808"/>
      <c r="CP74" s="808"/>
      <c r="CQ74" s="808"/>
      <c r="CR74" s="808"/>
      <c r="CS74" s="808"/>
      <c r="CT74" s="808"/>
      <c r="CU74" s="808"/>
      <c r="CV74" s="808"/>
      <c r="CW74" s="808"/>
      <c r="CX74" s="808"/>
      <c r="CY74" s="808"/>
      <c r="CZ74" s="808"/>
      <c r="DA74" s="808"/>
      <c r="DB74" s="808"/>
      <c r="DC74" s="808"/>
      <c r="DD74" s="808"/>
      <c r="DE74" s="808"/>
      <c r="DF74" s="808"/>
      <c r="DG74" s="808"/>
      <c r="DH74" s="808"/>
      <c r="DI74" s="808"/>
      <c r="DJ74" s="808"/>
      <c r="DK74" s="808"/>
      <c r="DL74" s="808"/>
      <c r="DM74" s="808"/>
      <c r="DN74" s="808"/>
      <c r="DO74" s="808"/>
      <c r="DP74" s="808"/>
    </row>
    <row r="75" spans="1:120">
      <c r="A75" s="821"/>
      <c r="B75" s="813" t="s">
        <v>949</v>
      </c>
      <c r="C75" s="814" t="s">
        <v>269</v>
      </c>
      <c r="D75" s="815">
        <v>0</v>
      </c>
      <c r="E75" s="815">
        <f>SUM(E76:E81)</f>
        <v>0</v>
      </c>
      <c r="F75" s="815">
        <f t="shared" ref="F75:J75" si="10">SUM(F76:F81)</f>
        <v>616747.17665000004</v>
      </c>
      <c r="G75" s="815">
        <f t="shared" si="10"/>
        <v>48580</v>
      </c>
      <c r="H75" s="815">
        <f t="shared" si="10"/>
        <v>288049.33535000001</v>
      </c>
      <c r="I75" s="815">
        <f t="shared" si="10"/>
        <v>41765.178080000005</v>
      </c>
      <c r="J75" s="815">
        <f t="shared" si="10"/>
        <v>0</v>
      </c>
      <c r="K75" s="815">
        <f t="shared" si="9"/>
        <v>995141.69008000009</v>
      </c>
      <c r="L75" s="214">
        <v>927022830.13</v>
      </c>
      <c r="M75" s="214"/>
      <c r="N75" s="214"/>
      <c r="O75" s="214"/>
      <c r="P75" s="214"/>
      <c r="Q75" s="214"/>
      <c r="R75" s="808"/>
      <c r="S75" s="808"/>
      <c r="T75" s="808"/>
      <c r="U75" s="808"/>
      <c r="V75" s="808"/>
      <c r="W75" s="808"/>
      <c r="X75" s="808"/>
      <c r="Y75" s="808"/>
      <c r="Z75" s="808"/>
      <c r="AA75" s="808"/>
      <c r="AB75" s="808"/>
      <c r="AC75" s="808"/>
      <c r="AD75" s="808"/>
      <c r="AE75" s="808"/>
      <c r="AF75" s="808"/>
      <c r="AG75" s="808"/>
      <c r="AH75" s="808"/>
      <c r="AI75" s="808"/>
      <c r="AJ75" s="808"/>
      <c r="AK75" s="808"/>
      <c r="AL75" s="808"/>
      <c r="AM75" s="808"/>
      <c r="AN75" s="808"/>
      <c r="AO75" s="808"/>
      <c r="AP75" s="808"/>
      <c r="AQ75" s="808"/>
      <c r="AR75" s="808"/>
      <c r="AS75" s="808"/>
      <c r="AT75" s="808"/>
      <c r="AU75" s="808"/>
      <c r="AV75" s="808"/>
      <c r="AW75" s="808"/>
      <c r="AX75" s="808"/>
      <c r="AY75" s="808"/>
      <c r="AZ75" s="808"/>
      <c r="BA75" s="808"/>
      <c r="BB75" s="808"/>
      <c r="BC75" s="808"/>
      <c r="BD75" s="808"/>
      <c r="BE75" s="808"/>
      <c r="BF75" s="808"/>
      <c r="BG75" s="808"/>
      <c r="BH75" s="808"/>
      <c r="BI75" s="808"/>
      <c r="BJ75" s="808"/>
      <c r="BK75" s="808"/>
      <c r="BL75" s="808"/>
      <c r="BM75" s="808"/>
      <c r="BN75" s="808"/>
      <c r="BO75" s="808"/>
      <c r="BP75" s="808"/>
      <c r="BQ75" s="808"/>
      <c r="BR75" s="808"/>
      <c r="BS75" s="808"/>
      <c r="BT75" s="808"/>
      <c r="BU75" s="808"/>
      <c r="BV75" s="808"/>
      <c r="BW75" s="808"/>
      <c r="BX75" s="808"/>
      <c r="BY75" s="808"/>
      <c r="BZ75" s="808"/>
      <c r="CA75" s="808"/>
      <c r="CB75" s="808"/>
      <c r="CC75" s="808"/>
      <c r="CD75" s="808"/>
      <c r="CE75" s="808"/>
      <c r="CF75" s="808"/>
      <c r="CG75" s="808"/>
      <c r="CH75" s="808"/>
      <c r="CI75" s="808"/>
      <c r="CJ75" s="808"/>
      <c r="CK75" s="808"/>
      <c r="CL75" s="808"/>
      <c r="CM75" s="808"/>
      <c r="CN75" s="808"/>
      <c r="CO75" s="808"/>
      <c r="CP75" s="808"/>
      <c r="CQ75" s="808"/>
      <c r="CR75" s="808"/>
      <c r="CS75" s="808"/>
      <c r="CT75" s="808"/>
      <c r="CU75" s="808"/>
      <c r="CV75" s="808"/>
      <c r="CW75" s="808"/>
      <c r="CX75" s="808"/>
      <c r="CY75" s="808"/>
      <c r="CZ75" s="808"/>
      <c r="DA75" s="808"/>
      <c r="DB75" s="808"/>
      <c r="DC75" s="808"/>
      <c r="DD75" s="808"/>
      <c r="DE75" s="808"/>
      <c r="DF75" s="808"/>
      <c r="DG75" s="808"/>
      <c r="DH75" s="808"/>
      <c r="DI75" s="808"/>
      <c r="DJ75" s="808"/>
      <c r="DK75" s="808"/>
      <c r="DL75" s="808"/>
      <c r="DM75" s="808"/>
      <c r="DN75" s="808"/>
      <c r="DO75" s="808"/>
      <c r="DP75" s="808"/>
    </row>
    <row r="76" spans="1:120">
      <c r="B76" s="813" t="s">
        <v>1235</v>
      </c>
      <c r="C76" s="814" t="s">
        <v>1236</v>
      </c>
      <c r="D76" s="815">
        <v>0</v>
      </c>
      <c r="E76" s="815">
        <v>0</v>
      </c>
      <c r="F76" s="815">
        <f>91195.25759+29677.62</f>
        <v>120872.87758999999</v>
      </c>
      <c r="G76" s="815">
        <v>48580</v>
      </c>
      <c r="H76" s="815">
        <v>43309.742969999999</v>
      </c>
      <c r="I76" s="815">
        <v>0</v>
      </c>
      <c r="J76" s="815">
        <v>0</v>
      </c>
      <c r="K76" s="815">
        <f t="shared" si="9"/>
        <v>212762.62055999998</v>
      </c>
      <c r="L76" s="214">
        <f>191369958.96-L73</f>
        <v>183085000.56</v>
      </c>
      <c r="M76" s="214">
        <f>+L76/1000</f>
        <v>183085.00056000001</v>
      </c>
      <c r="N76" s="214">
        <f>+M76-K76</f>
        <v>-29677.619999999966</v>
      </c>
      <c r="O76" s="214">
        <v>29677.62</v>
      </c>
      <c r="P76" s="214">
        <f>+N76+O76</f>
        <v>3.2741809263825417E-11</v>
      </c>
      <c r="Q76" s="214"/>
    </row>
    <row r="77" spans="1:120">
      <c r="B77" s="813" t="s">
        <v>1237</v>
      </c>
      <c r="C77" s="814" t="s">
        <v>1238</v>
      </c>
      <c r="D77" s="815">
        <v>0</v>
      </c>
      <c r="E77" s="815">
        <v>0</v>
      </c>
      <c r="F77" s="815">
        <v>0</v>
      </c>
      <c r="G77" s="815">
        <v>0</v>
      </c>
      <c r="H77" s="815">
        <v>0</v>
      </c>
      <c r="I77" s="815">
        <v>0</v>
      </c>
      <c r="J77" s="815">
        <v>0</v>
      </c>
      <c r="K77" s="815">
        <f t="shared" si="9"/>
        <v>0</v>
      </c>
      <c r="L77" s="214">
        <f>+L76-K75</f>
        <v>182089858.86992002</v>
      </c>
      <c r="M77" s="214"/>
      <c r="N77" s="214"/>
      <c r="O77" s="214"/>
      <c r="P77" s="214"/>
      <c r="Q77" s="214"/>
    </row>
    <row r="78" spans="1:120">
      <c r="B78" s="813" t="s">
        <v>1239</v>
      </c>
      <c r="C78" s="814" t="s">
        <v>1240</v>
      </c>
      <c r="D78" s="815">
        <v>0</v>
      </c>
      <c r="E78" s="815">
        <v>0</v>
      </c>
      <c r="F78" s="815">
        <v>495874.29905999999</v>
      </c>
      <c r="G78" s="815">
        <v>0</v>
      </c>
      <c r="H78" s="815">
        <v>244739.59238000002</v>
      </c>
      <c r="I78" s="815">
        <v>41765.178080000005</v>
      </c>
      <c r="J78" s="815">
        <v>0</v>
      </c>
      <c r="K78" s="815">
        <f t="shared" si="9"/>
        <v>782379.06952000002</v>
      </c>
      <c r="L78" s="214">
        <f>735652871.17+46726200</f>
        <v>782379071.16999996</v>
      </c>
      <c r="M78" s="214">
        <f>+L78/1000</f>
        <v>782379.07117000001</v>
      </c>
      <c r="N78" s="214">
        <f>+K78-M78</f>
        <v>-1.6499999910593033E-3</v>
      </c>
      <c r="O78" s="214"/>
      <c r="P78" s="214"/>
      <c r="Q78" s="214"/>
    </row>
    <row r="79" spans="1:120">
      <c r="B79" s="813" t="s">
        <v>1241</v>
      </c>
      <c r="C79" s="814"/>
      <c r="D79" s="815">
        <v>0</v>
      </c>
      <c r="E79" s="815">
        <v>0</v>
      </c>
      <c r="F79" s="815">
        <v>0</v>
      </c>
      <c r="G79" s="815">
        <v>0</v>
      </c>
      <c r="H79" s="815">
        <v>0</v>
      </c>
      <c r="I79" s="815">
        <v>0</v>
      </c>
      <c r="J79" s="815">
        <v>0</v>
      </c>
      <c r="K79" s="815">
        <f t="shared" si="9"/>
        <v>0</v>
      </c>
      <c r="M79" s="214"/>
      <c r="N79" s="214"/>
      <c r="O79" s="214"/>
      <c r="P79" s="214"/>
      <c r="Q79" s="214"/>
    </row>
    <row r="80" spans="1:120">
      <c r="B80" s="813" t="s">
        <v>1242</v>
      </c>
      <c r="C80" s="814" t="s">
        <v>1243</v>
      </c>
      <c r="D80" s="815">
        <v>0</v>
      </c>
      <c r="E80" s="815">
        <v>0</v>
      </c>
      <c r="F80" s="815"/>
      <c r="G80" s="815"/>
      <c r="H80" s="815"/>
      <c r="I80" s="815"/>
      <c r="J80" s="815">
        <v>0</v>
      </c>
      <c r="K80" s="815">
        <f t="shared" si="9"/>
        <v>0</v>
      </c>
      <c r="M80" s="214"/>
      <c r="N80" s="214"/>
      <c r="O80" s="214"/>
      <c r="P80" s="214"/>
      <c r="Q80" s="214"/>
    </row>
    <row r="81" spans="1:120" ht="26.4">
      <c r="B81" s="813" t="s">
        <v>1244</v>
      </c>
      <c r="C81" s="814" t="s">
        <v>1245</v>
      </c>
      <c r="D81" s="815">
        <v>0</v>
      </c>
      <c r="E81" s="815">
        <v>0</v>
      </c>
      <c r="F81" s="815"/>
      <c r="G81" s="815"/>
      <c r="H81" s="815"/>
      <c r="I81" s="815"/>
      <c r="J81" s="815">
        <v>0</v>
      </c>
      <c r="K81" s="815">
        <f t="shared" si="9"/>
        <v>0</v>
      </c>
      <c r="M81" s="214"/>
      <c r="N81" s="214"/>
      <c r="O81" s="214"/>
      <c r="P81" s="214"/>
      <c r="Q81" s="214"/>
    </row>
    <row r="82" spans="1:120">
      <c r="B82" s="813" t="s">
        <v>1246</v>
      </c>
      <c r="C82" s="816" t="s">
        <v>195</v>
      </c>
      <c r="D82" s="852">
        <f t="shared" ref="D82:H82" si="11">+D69+D72+D80-D75</f>
        <v>2576719</v>
      </c>
      <c r="E82" s="852">
        <f t="shared" si="11"/>
        <v>43346762.928320006</v>
      </c>
      <c r="F82" s="852">
        <f t="shared" si="11"/>
        <v>64301462.710700005</v>
      </c>
      <c r="G82" s="852">
        <f t="shared" si="11"/>
        <v>1960229.7935500001</v>
      </c>
      <c r="H82" s="852">
        <f t="shared" si="11"/>
        <v>3094602.21618</v>
      </c>
      <c r="I82" s="852">
        <f>+I69+I72+I80-I75</f>
        <v>2268664.1477300003</v>
      </c>
      <c r="J82" s="852">
        <f t="shared" ref="J82" si="12">+J69+J72+J80</f>
        <v>0</v>
      </c>
      <c r="K82" s="852">
        <f t="shared" si="9"/>
        <v>117548440.79648</v>
      </c>
      <c r="L82" s="214">
        <v>2576719</v>
      </c>
      <c r="M82" s="214">
        <v>43468773.198320001</v>
      </c>
      <c r="N82" s="214">
        <v>61931713.515309989</v>
      </c>
      <c r="O82" s="214">
        <v>1960229.73355</v>
      </c>
      <c r="P82" s="214">
        <v>3075371.52618</v>
      </c>
      <c r="Q82" s="214">
        <v>2266071.9577299999</v>
      </c>
      <c r="R82" s="214">
        <v>0</v>
      </c>
      <c r="S82" s="214">
        <v>115278878.93108998</v>
      </c>
    </row>
    <row r="83" spans="1:120">
      <c r="B83" s="813" t="s">
        <v>950</v>
      </c>
      <c r="C83" s="816" t="s">
        <v>266</v>
      </c>
      <c r="D83" s="852">
        <v>0</v>
      </c>
      <c r="E83" s="852"/>
      <c r="F83" s="852"/>
      <c r="G83" s="852"/>
      <c r="H83" s="852"/>
      <c r="I83" s="852">
        <f>+[8]asset!$AK$2696/1000</f>
        <v>2265357.1537499996</v>
      </c>
      <c r="J83" s="852">
        <f>+I82-I83</f>
        <v>3306.9939800007269</v>
      </c>
      <c r="K83" s="852">
        <f t="shared" si="9"/>
        <v>2268664.1477300003</v>
      </c>
      <c r="L83" s="214">
        <v>0</v>
      </c>
      <c r="M83" s="214">
        <v>2769132.2164900005</v>
      </c>
      <c r="N83" s="214">
        <v>30785341.950239997</v>
      </c>
      <c r="O83" s="214">
        <v>706638.79316999984</v>
      </c>
      <c r="P83" s="214">
        <v>936550.70773000014</v>
      </c>
      <c r="Q83" s="214">
        <v>1645102.0340400001</v>
      </c>
      <c r="R83" s="214">
        <v>0</v>
      </c>
      <c r="S83" s="214">
        <v>36842765.701669998</v>
      </c>
    </row>
    <row r="84" spans="1:120">
      <c r="B84" s="813" t="s">
        <v>951</v>
      </c>
      <c r="C84" s="814" t="s">
        <v>194</v>
      </c>
      <c r="D84" s="815">
        <v>0</v>
      </c>
      <c r="E84" s="815">
        <v>2043820.4</v>
      </c>
      <c r="F84" s="815">
        <v>26353032.100000001</v>
      </c>
      <c r="G84" s="815">
        <v>552505.19999999995</v>
      </c>
      <c r="H84" s="815">
        <v>1084541.7</v>
      </c>
      <c r="I84" s="815">
        <v>1464235.5</v>
      </c>
      <c r="J84" s="815">
        <v>0</v>
      </c>
      <c r="K84" s="815">
        <f t="shared" si="9"/>
        <v>31498134.899999999</v>
      </c>
      <c r="L84" s="214">
        <f>+L82-L83</f>
        <v>2576719</v>
      </c>
      <c r="M84" s="214">
        <f t="shared" ref="M84:S84" si="13">+M82-M83</f>
        <v>40699640.981830001</v>
      </c>
      <c r="N84" s="214">
        <f t="shared" si="13"/>
        <v>31146371.565069992</v>
      </c>
      <c r="O84" s="214">
        <f t="shared" si="13"/>
        <v>1253590.94038</v>
      </c>
      <c r="P84" s="214">
        <f t="shared" si="13"/>
        <v>2138820.8184500001</v>
      </c>
      <c r="Q84" s="214">
        <f t="shared" si="13"/>
        <v>620969.92368999985</v>
      </c>
      <c r="R84" s="214">
        <f t="shared" si="13"/>
        <v>0</v>
      </c>
      <c r="S84" s="214">
        <f t="shared" si="13"/>
        <v>78436113.229419976</v>
      </c>
    </row>
    <row r="85" spans="1:120">
      <c r="B85" s="813" t="s">
        <v>953</v>
      </c>
      <c r="C85" s="814" t="s">
        <v>233</v>
      </c>
      <c r="D85" s="815">
        <v>0</v>
      </c>
      <c r="E85" s="815">
        <v>725311.81649</v>
      </c>
      <c r="F85" s="815">
        <v>4912620.789269994</v>
      </c>
      <c r="G85" s="815">
        <v>184507.73241</v>
      </c>
      <c r="H85" s="815">
        <v>16449.114790000371</v>
      </c>
      <c r="I85" s="815">
        <v>219670.84875000009</v>
      </c>
      <c r="J85" s="815">
        <v>0</v>
      </c>
      <c r="K85" s="815">
        <f t="shared" si="9"/>
        <v>6058560.3017099937</v>
      </c>
      <c r="L85" s="214">
        <f>+L84-D97</f>
        <v>0</v>
      </c>
      <c r="M85" s="214">
        <f t="shared" ref="M85:S85" si="14">+M84-E97</f>
        <v>70756.545659996569</v>
      </c>
      <c r="N85" s="214">
        <f t="shared" si="14"/>
        <v>-54473.335290011019</v>
      </c>
      <c r="O85" s="214">
        <f t="shared" si="14"/>
        <v>-0.21461999975144863</v>
      </c>
      <c r="P85" s="214">
        <f t="shared" si="14"/>
        <v>-17617.160649999976</v>
      </c>
      <c r="Q85" s="214">
        <f t="shared" si="14"/>
        <v>-1391.003210000461</v>
      </c>
      <c r="R85" s="214">
        <f t="shared" si="14"/>
        <v>0</v>
      </c>
      <c r="S85" s="214">
        <f t="shared" si="14"/>
        <v>-2725.1681100279093</v>
      </c>
    </row>
    <row r="86" spans="1:120">
      <c r="B86" s="813" t="s">
        <v>1247</v>
      </c>
      <c r="C86" s="814" t="s">
        <v>1248</v>
      </c>
      <c r="D86" s="815">
        <v>0</v>
      </c>
      <c r="E86" s="815">
        <f>+E85</f>
        <v>725311.81649</v>
      </c>
      <c r="F86" s="815">
        <f>+[8]depreciation!$L$84/1000+248358.91</f>
        <v>4912620.789269994</v>
      </c>
      <c r="G86" s="815">
        <f>+[8]S4!$E$36/1000</f>
        <v>184507.73241</v>
      </c>
      <c r="H86" s="815">
        <f>+[8]depreciation!$L$1134/1000-253686.74</f>
        <v>16449.114790000371</v>
      </c>
      <c r="I86" s="815">
        <f>+[8]depreciation!$L$2675/1000+5328.38</f>
        <v>219670.84875000009</v>
      </c>
      <c r="J86" s="815">
        <v>0</v>
      </c>
      <c r="K86" s="815">
        <f t="shared" si="9"/>
        <v>6058560.3017099937</v>
      </c>
      <c r="M86" s="214"/>
      <c r="N86" s="214"/>
      <c r="O86" s="214"/>
      <c r="P86" s="214"/>
      <c r="Q86" s="214"/>
      <c r="R86" s="214"/>
      <c r="S86" s="214"/>
    </row>
    <row r="87" spans="1:120">
      <c r="B87" s="813" t="s">
        <v>1249</v>
      </c>
      <c r="C87" s="814" t="s">
        <v>286</v>
      </c>
      <c r="D87" s="815">
        <v>0</v>
      </c>
      <c r="E87" s="815">
        <v>0</v>
      </c>
      <c r="F87" s="815">
        <v>0</v>
      </c>
      <c r="G87" s="815">
        <v>0</v>
      </c>
      <c r="H87" s="815">
        <v>0</v>
      </c>
      <c r="I87" s="815">
        <v>0</v>
      </c>
      <c r="J87" s="815">
        <v>0</v>
      </c>
      <c r="K87" s="815">
        <f t="shared" si="9"/>
        <v>0</v>
      </c>
      <c r="M87" s="214"/>
      <c r="N87" s="214"/>
      <c r="O87" s="214"/>
      <c r="P87" s="214"/>
      <c r="Q87" s="214"/>
      <c r="R87" s="214"/>
      <c r="S87" s="214"/>
    </row>
    <row r="88" spans="1:120">
      <c r="B88" s="813" t="s">
        <v>1250</v>
      </c>
      <c r="C88" s="814" t="s">
        <v>268</v>
      </c>
      <c r="D88" s="815">
        <v>0</v>
      </c>
      <c r="E88" s="815">
        <v>0</v>
      </c>
      <c r="F88" s="815">
        <v>0</v>
      </c>
      <c r="G88" s="815">
        <v>0</v>
      </c>
      <c r="H88" s="815">
        <v>0</v>
      </c>
      <c r="I88" s="815">
        <v>0</v>
      </c>
      <c r="J88" s="815">
        <v>0</v>
      </c>
      <c r="K88" s="815">
        <f t="shared" si="9"/>
        <v>0</v>
      </c>
    </row>
    <row r="89" spans="1:120">
      <c r="B89" s="813" t="s">
        <v>954</v>
      </c>
      <c r="C89" s="814" t="s">
        <v>269</v>
      </c>
      <c r="D89" s="815">
        <v>0</v>
      </c>
      <c r="E89" s="815">
        <f>SUM(E90:E92)</f>
        <v>51253.7</v>
      </c>
      <c r="F89" s="815">
        <f t="shared" ref="F89:J89" si="15">SUM(F90:F92)</f>
        <v>431871.74</v>
      </c>
      <c r="G89" s="815">
        <f t="shared" si="15"/>
        <v>30374.339239999998</v>
      </c>
      <c r="H89" s="815">
        <f t="shared" si="15"/>
        <v>162826.60999999999</v>
      </c>
      <c r="I89" s="815">
        <f t="shared" si="15"/>
        <v>37603.11</v>
      </c>
      <c r="J89" s="815">
        <f t="shared" si="15"/>
        <v>0</v>
      </c>
      <c r="K89" s="815">
        <f t="shared" si="9"/>
        <v>713929.49923999992</v>
      </c>
    </row>
    <row r="90" spans="1:120">
      <c r="B90" s="813" t="s">
        <v>1251</v>
      </c>
      <c r="C90" s="814" t="s">
        <v>1252</v>
      </c>
      <c r="D90" s="815">
        <v>0</v>
      </c>
      <c r="E90" s="815">
        <v>0</v>
      </c>
      <c r="F90" s="815">
        <v>480310.94</v>
      </c>
      <c r="G90" s="815">
        <v>30374.139239999997</v>
      </c>
      <c r="H90" s="815">
        <v>164440.10999999999</v>
      </c>
      <c r="I90" s="815">
        <v>38804.31</v>
      </c>
      <c r="J90" s="815">
        <v>0</v>
      </c>
      <c r="K90" s="815">
        <f t="shared" si="9"/>
        <v>713929.49924000003</v>
      </c>
      <c r="L90" s="823">
        <f>+K75-K90</f>
        <v>281212.19084000005</v>
      </c>
      <c r="M90" s="823"/>
    </row>
    <row r="91" spans="1:120">
      <c r="B91" s="813" t="s">
        <v>1253</v>
      </c>
      <c r="C91" s="814" t="s">
        <v>1254</v>
      </c>
      <c r="D91" s="815">
        <v>0</v>
      </c>
      <c r="E91" s="815">
        <v>51253.7</v>
      </c>
      <c r="F91" s="815">
        <v>-48439.199999999997</v>
      </c>
      <c r="G91" s="815">
        <v>0.2</v>
      </c>
      <c r="H91" s="815">
        <v>-1613.5</v>
      </c>
      <c r="I91" s="815">
        <f>-1201-0.2</f>
        <v>-1201.2</v>
      </c>
      <c r="J91" s="815">
        <v>0</v>
      </c>
      <c r="K91" s="815">
        <f t="shared" si="9"/>
        <v>-2.2737367544323206E-13</v>
      </c>
      <c r="L91" s="823"/>
      <c r="M91" s="823">
        <v>713929500.03999996</v>
      </c>
    </row>
    <row r="92" spans="1:120">
      <c r="A92" s="821"/>
      <c r="B92" s="813" t="s">
        <v>1255</v>
      </c>
      <c r="C92" s="814" t="s">
        <v>271</v>
      </c>
      <c r="D92" s="815">
        <v>0</v>
      </c>
      <c r="E92" s="815">
        <v>0</v>
      </c>
      <c r="F92" s="848"/>
      <c r="G92" s="815"/>
      <c r="H92" s="815"/>
      <c r="I92" s="815"/>
      <c r="J92" s="815"/>
      <c r="K92" s="815">
        <f t="shared" si="9"/>
        <v>0</v>
      </c>
      <c r="L92" s="823"/>
      <c r="M92" s="823">
        <f>+M91/1000</f>
        <v>713929.50003999996</v>
      </c>
      <c r="N92" s="808"/>
      <c r="O92" s="808"/>
      <c r="P92" s="808"/>
      <c r="Q92" s="808"/>
      <c r="R92" s="808"/>
      <c r="S92" s="808"/>
      <c r="T92" s="808"/>
      <c r="U92" s="808"/>
      <c r="V92" s="808"/>
      <c r="W92" s="808"/>
      <c r="X92" s="808"/>
      <c r="Y92" s="808"/>
      <c r="Z92" s="808"/>
      <c r="AA92" s="808"/>
      <c r="AB92" s="808"/>
      <c r="AC92" s="808"/>
      <c r="AD92" s="808"/>
      <c r="AE92" s="808"/>
      <c r="AF92" s="808"/>
      <c r="AG92" s="808"/>
      <c r="AH92" s="808"/>
      <c r="AI92" s="808"/>
      <c r="AJ92" s="808"/>
      <c r="AK92" s="808"/>
      <c r="AL92" s="808"/>
      <c r="AM92" s="808"/>
      <c r="AN92" s="808"/>
      <c r="AO92" s="808"/>
      <c r="AP92" s="808"/>
      <c r="AQ92" s="808"/>
      <c r="AR92" s="808"/>
      <c r="AS92" s="808"/>
      <c r="AT92" s="808"/>
      <c r="AU92" s="808"/>
      <c r="AV92" s="808"/>
      <c r="AW92" s="808"/>
      <c r="AX92" s="808"/>
      <c r="AY92" s="808"/>
      <c r="AZ92" s="808"/>
      <c r="BA92" s="808"/>
      <c r="BB92" s="808"/>
      <c r="BC92" s="808"/>
      <c r="BD92" s="808"/>
      <c r="BE92" s="808"/>
      <c r="BF92" s="808"/>
      <c r="BG92" s="808"/>
      <c r="BH92" s="808"/>
      <c r="BI92" s="808"/>
      <c r="BJ92" s="808"/>
      <c r="BK92" s="808"/>
      <c r="BL92" s="808"/>
      <c r="BM92" s="808"/>
      <c r="BN92" s="808"/>
      <c r="BO92" s="808"/>
      <c r="BP92" s="808"/>
      <c r="BQ92" s="808"/>
      <c r="BR92" s="808"/>
      <c r="BS92" s="808"/>
      <c r="BT92" s="808"/>
      <c r="BU92" s="808"/>
      <c r="BV92" s="808"/>
      <c r="BW92" s="808"/>
      <c r="BX92" s="808"/>
      <c r="BY92" s="808"/>
      <c r="BZ92" s="808"/>
      <c r="CA92" s="808"/>
      <c r="CB92" s="808"/>
      <c r="CC92" s="808"/>
      <c r="CD92" s="808"/>
      <c r="CE92" s="808"/>
      <c r="CF92" s="808"/>
      <c r="CG92" s="808"/>
      <c r="CH92" s="808"/>
      <c r="CI92" s="808"/>
      <c r="CJ92" s="808"/>
      <c r="CK92" s="808"/>
      <c r="CL92" s="808"/>
      <c r="CM92" s="808"/>
      <c r="CN92" s="808"/>
      <c r="CO92" s="808"/>
      <c r="CP92" s="808"/>
      <c r="CQ92" s="808"/>
      <c r="CR92" s="808"/>
      <c r="CS92" s="808"/>
      <c r="CT92" s="808"/>
      <c r="CU92" s="808"/>
      <c r="CV92" s="808"/>
      <c r="CW92" s="808"/>
      <c r="CX92" s="808"/>
      <c r="CY92" s="808"/>
      <c r="CZ92" s="808"/>
      <c r="DA92" s="808"/>
      <c r="DB92" s="808"/>
      <c r="DC92" s="808"/>
      <c r="DD92" s="808"/>
      <c r="DE92" s="808"/>
      <c r="DF92" s="808"/>
      <c r="DG92" s="808"/>
      <c r="DH92" s="808"/>
      <c r="DI92" s="808"/>
      <c r="DJ92" s="808"/>
      <c r="DK92" s="808"/>
      <c r="DL92" s="808"/>
      <c r="DM92" s="808"/>
      <c r="DN92" s="808"/>
      <c r="DO92" s="808"/>
      <c r="DP92" s="808"/>
    </row>
    <row r="93" spans="1:120">
      <c r="A93" s="821"/>
      <c r="B93" s="813" t="s">
        <v>955</v>
      </c>
      <c r="C93" s="816" t="s">
        <v>195</v>
      </c>
      <c r="D93" s="852">
        <v>0</v>
      </c>
      <c r="E93" s="852">
        <f>+E84+E85-E89</f>
        <v>2717878.5164899998</v>
      </c>
      <c r="F93" s="852">
        <f t="shared" ref="F93:J93" si="16">+F84+F85-F89</f>
        <v>30833781.149269998</v>
      </c>
      <c r="G93" s="852">
        <f t="shared" si="16"/>
        <v>706638.59316999989</v>
      </c>
      <c r="H93" s="852">
        <f t="shared" si="16"/>
        <v>938164.20479000022</v>
      </c>
      <c r="I93" s="852">
        <f t="shared" si="16"/>
        <v>1646303.23875</v>
      </c>
      <c r="J93" s="852">
        <f t="shared" si="16"/>
        <v>0</v>
      </c>
      <c r="K93" s="852">
        <f>SUM(D93:J93)</f>
        <v>36842765.702470005</v>
      </c>
      <c r="L93" s="823"/>
      <c r="M93" s="823">
        <f>+K90-M92</f>
        <v>-7.9999992158263922E-4</v>
      </c>
      <c r="N93" s="808"/>
      <c r="O93" s="808"/>
      <c r="P93" s="808"/>
      <c r="Q93" s="808"/>
      <c r="R93" s="808"/>
      <c r="S93" s="808"/>
      <c r="T93" s="808"/>
      <c r="U93" s="808"/>
      <c r="V93" s="808"/>
      <c r="W93" s="808"/>
      <c r="X93" s="808"/>
      <c r="Y93" s="808"/>
      <c r="Z93" s="808"/>
      <c r="AA93" s="808"/>
      <c r="AB93" s="808"/>
      <c r="AC93" s="808"/>
      <c r="AD93" s="808"/>
      <c r="AE93" s="808"/>
      <c r="AF93" s="808"/>
      <c r="AG93" s="808"/>
      <c r="AH93" s="808"/>
      <c r="AI93" s="808"/>
      <c r="AJ93" s="808"/>
      <c r="AK93" s="808"/>
      <c r="AL93" s="808"/>
      <c r="AM93" s="808"/>
      <c r="AN93" s="808"/>
      <c r="AO93" s="808"/>
      <c r="AP93" s="808"/>
      <c r="AQ93" s="808"/>
      <c r="AR93" s="808"/>
      <c r="AS93" s="808"/>
      <c r="AT93" s="808"/>
      <c r="AU93" s="808"/>
      <c r="AV93" s="808"/>
      <c r="AW93" s="808"/>
      <c r="AX93" s="808"/>
      <c r="AY93" s="808"/>
      <c r="AZ93" s="808"/>
      <c r="BA93" s="808"/>
      <c r="BB93" s="808"/>
      <c r="BC93" s="808"/>
      <c r="BD93" s="808"/>
      <c r="BE93" s="808"/>
      <c r="BF93" s="808"/>
      <c r="BG93" s="808"/>
      <c r="BH93" s="808"/>
      <c r="BI93" s="808"/>
      <c r="BJ93" s="808"/>
      <c r="BK93" s="808"/>
      <c r="BL93" s="808"/>
      <c r="BM93" s="808"/>
      <c r="BN93" s="808"/>
      <c r="BO93" s="808"/>
      <c r="BP93" s="808"/>
      <c r="BQ93" s="808"/>
      <c r="BR93" s="808"/>
      <c r="BS93" s="808"/>
      <c r="BT93" s="808"/>
      <c r="BU93" s="808"/>
      <c r="BV93" s="808"/>
      <c r="BW93" s="808"/>
      <c r="BX93" s="808"/>
      <c r="BY93" s="808"/>
      <c r="BZ93" s="808"/>
      <c r="CA93" s="808"/>
      <c r="CB93" s="808"/>
      <c r="CC93" s="808"/>
      <c r="CD93" s="808"/>
      <c r="CE93" s="808"/>
      <c r="CF93" s="808"/>
      <c r="CG93" s="808"/>
      <c r="CH93" s="808"/>
      <c r="CI93" s="808"/>
      <c r="CJ93" s="808"/>
      <c r="CK93" s="808"/>
      <c r="CL93" s="808"/>
      <c r="CM93" s="808"/>
      <c r="CN93" s="808"/>
      <c r="CO93" s="808"/>
      <c r="CP93" s="808"/>
      <c r="CQ93" s="808"/>
      <c r="CR93" s="808"/>
      <c r="CS93" s="808"/>
      <c r="CT93" s="808"/>
      <c r="CU93" s="808"/>
      <c r="CV93" s="808"/>
      <c r="CW93" s="808"/>
      <c r="CX93" s="808"/>
      <c r="CY93" s="808"/>
      <c r="CZ93" s="808"/>
      <c r="DA93" s="808"/>
      <c r="DB93" s="808"/>
      <c r="DC93" s="808"/>
      <c r="DD93" s="808"/>
      <c r="DE93" s="808"/>
      <c r="DF93" s="808"/>
      <c r="DG93" s="808"/>
      <c r="DH93" s="808"/>
      <c r="DI93" s="808"/>
      <c r="DJ93" s="808"/>
      <c r="DK93" s="808"/>
      <c r="DL93" s="808"/>
      <c r="DM93" s="808"/>
      <c r="DN93" s="808"/>
      <c r="DO93" s="808"/>
      <c r="DP93" s="808"/>
    </row>
    <row r="94" spans="1:120">
      <c r="A94" s="821"/>
      <c r="B94" s="813" t="s">
        <v>961</v>
      </c>
      <c r="C94" s="816" t="s">
        <v>272</v>
      </c>
      <c r="D94" s="852">
        <v>0</v>
      </c>
      <c r="E94" s="852"/>
      <c r="F94" s="852"/>
      <c r="G94" s="852"/>
      <c r="H94" s="852"/>
      <c r="I94" s="852">
        <f>+[8]depreciation!$P$2675/1000</f>
        <v>1645102.0363700001</v>
      </c>
      <c r="J94" s="852">
        <f>+I93-I94</f>
        <v>1201.2023799999151</v>
      </c>
      <c r="K94" s="852">
        <f t="shared" ref="K94:K96" si="17">SUM(D94:J94)</f>
        <v>1646303.23875</v>
      </c>
      <c r="M94" s="808"/>
      <c r="N94" s="847"/>
      <c r="O94" s="808"/>
      <c r="P94" s="808"/>
      <c r="Q94" s="808"/>
      <c r="R94" s="808"/>
      <c r="S94" s="808"/>
      <c r="T94" s="808"/>
      <c r="U94" s="808"/>
      <c r="V94" s="808"/>
      <c r="W94" s="808"/>
      <c r="X94" s="808"/>
      <c r="Y94" s="808"/>
      <c r="Z94" s="808"/>
      <c r="AA94" s="808"/>
      <c r="AB94" s="808"/>
      <c r="AC94" s="808"/>
      <c r="AD94" s="808"/>
      <c r="AE94" s="808"/>
      <c r="AF94" s="808"/>
      <c r="AG94" s="808"/>
      <c r="AH94" s="808"/>
      <c r="AI94" s="808"/>
      <c r="AJ94" s="808"/>
      <c r="AK94" s="808"/>
      <c r="AL94" s="808"/>
      <c r="AM94" s="808"/>
      <c r="AN94" s="808"/>
      <c r="AO94" s="808"/>
      <c r="AP94" s="808"/>
      <c r="AQ94" s="808"/>
      <c r="AR94" s="808"/>
      <c r="AS94" s="808"/>
      <c r="AT94" s="808"/>
      <c r="AU94" s="808"/>
      <c r="AV94" s="808"/>
      <c r="AW94" s="808"/>
      <c r="AX94" s="808"/>
      <c r="AY94" s="808"/>
      <c r="AZ94" s="808"/>
      <c r="BA94" s="808"/>
      <c r="BB94" s="808"/>
      <c r="BC94" s="808"/>
      <c r="BD94" s="808"/>
      <c r="BE94" s="808"/>
      <c r="BF94" s="808"/>
      <c r="BG94" s="808"/>
      <c r="BH94" s="808"/>
      <c r="BI94" s="808"/>
      <c r="BJ94" s="808"/>
      <c r="BK94" s="808"/>
      <c r="BL94" s="808"/>
      <c r="BM94" s="808"/>
      <c r="BN94" s="808"/>
      <c r="BO94" s="808"/>
      <c r="BP94" s="808"/>
      <c r="BQ94" s="808"/>
      <c r="BR94" s="808"/>
      <c r="BS94" s="808"/>
      <c r="BT94" s="808"/>
      <c r="BU94" s="808"/>
      <c r="BV94" s="808"/>
      <c r="BW94" s="808"/>
      <c r="BX94" s="808"/>
      <c r="BY94" s="808"/>
      <c r="BZ94" s="808"/>
      <c r="CA94" s="808"/>
      <c r="CB94" s="808"/>
      <c r="CC94" s="808"/>
      <c r="CD94" s="808"/>
      <c r="CE94" s="808"/>
      <c r="CF94" s="808"/>
      <c r="CG94" s="808"/>
      <c r="CH94" s="808"/>
      <c r="CI94" s="808"/>
      <c r="CJ94" s="808"/>
      <c r="CK94" s="808"/>
      <c r="CL94" s="808"/>
      <c r="CM94" s="808"/>
      <c r="CN94" s="808"/>
      <c r="CO94" s="808"/>
      <c r="CP94" s="808"/>
      <c r="CQ94" s="808"/>
      <c r="CR94" s="808"/>
      <c r="CS94" s="808"/>
      <c r="CT94" s="808"/>
      <c r="CU94" s="808"/>
      <c r="CV94" s="808"/>
      <c r="CW94" s="808"/>
      <c r="CX94" s="808"/>
      <c r="CY94" s="808"/>
      <c r="CZ94" s="808"/>
      <c r="DA94" s="808"/>
      <c r="DB94" s="808"/>
      <c r="DC94" s="808"/>
      <c r="DD94" s="808"/>
      <c r="DE94" s="808"/>
      <c r="DF94" s="808"/>
      <c r="DG94" s="808"/>
      <c r="DH94" s="808"/>
      <c r="DI94" s="808"/>
      <c r="DJ94" s="808"/>
      <c r="DK94" s="808"/>
      <c r="DL94" s="808"/>
      <c r="DM94" s="808"/>
      <c r="DN94" s="808"/>
      <c r="DO94" s="808"/>
      <c r="DP94" s="808"/>
    </row>
    <row r="95" spans="1:120">
      <c r="A95" s="821"/>
      <c r="B95" s="813" t="s">
        <v>967</v>
      </c>
      <c r="C95" s="816" t="s">
        <v>194</v>
      </c>
      <c r="D95" s="852">
        <f>+D69-D84</f>
        <v>2576719</v>
      </c>
      <c r="E95" s="852">
        <f t="shared" ref="E95:J95" si="18">+E69-E84</f>
        <v>21666613.870000005</v>
      </c>
      <c r="F95" s="852">
        <f t="shared" si="18"/>
        <v>20787043.600000001</v>
      </c>
      <c r="G95" s="852">
        <f t="shared" si="18"/>
        <v>1193115.9000000001</v>
      </c>
      <c r="H95" s="852">
        <f t="shared" si="18"/>
        <v>1845049.5999999999</v>
      </c>
      <c r="I95" s="852">
        <f t="shared" si="18"/>
        <v>420854.60000000009</v>
      </c>
      <c r="J95" s="852">
        <f t="shared" si="18"/>
        <v>0</v>
      </c>
      <c r="K95" s="852">
        <f t="shared" si="17"/>
        <v>48489396.570000008</v>
      </c>
      <c r="M95" s="847"/>
      <c r="N95" s="808"/>
      <c r="O95" s="808"/>
      <c r="P95" s="808"/>
      <c r="Q95" s="808"/>
      <c r="R95" s="808"/>
      <c r="S95" s="808"/>
      <c r="T95" s="808"/>
      <c r="U95" s="808"/>
      <c r="V95" s="808"/>
      <c r="W95" s="808"/>
      <c r="X95" s="808"/>
      <c r="Y95" s="808"/>
      <c r="Z95" s="808"/>
      <c r="AA95" s="808"/>
      <c r="AB95" s="808"/>
      <c r="AC95" s="808"/>
      <c r="AD95" s="808"/>
      <c r="AE95" s="808"/>
      <c r="AF95" s="808"/>
      <c r="AG95" s="808"/>
      <c r="AH95" s="808"/>
      <c r="AI95" s="808"/>
      <c r="AJ95" s="808"/>
      <c r="AK95" s="808"/>
      <c r="AL95" s="808"/>
      <c r="AM95" s="808"/>
      <c r="AN95" s="808"/>
      <c r="AO95" s="808"/>
      <c r="AP95" s="808"/>
      <c r="AQ95" s="808"/>
      <c r="AR95" s="808"/>
      <c r="AS95" s="808"/>
      <c r="AT95" s="808"/>
      <c r="AU95" s="808"/>
      <c r="AV95" s="808"/>
      <c r="AW95" s="808"/>
      <c r="AX95" s="808"/>
      <c r="AY95" s="808"/>
      <c r="AZ95" s="808"/>
      <c r="BA95" s="808"/>
      <c r="BB95" s="808"/>
      <c r="BC95" s="808"/>
      <c r="BD95" s="808"/>
      <c r="BE95" s="808"/>
      <c r="BF95" s="808"/>
      <c r="BG95" s="808"/>
      <c r="BH95" s="808"/>
      <c r="BI95" s="808"/>
      <c r="BJ95" s="808"/>
      <c r="BK95" s="808"/>
      <c r="BL95" s="808"/>
      <c r="BM95" s="808"/>
      <c r="BN95" s="808"/>
      <c r="BO95" s="808"/>
      <c r="BP95" s="808"/>
      <c r="BQ95" s="808"/>
      <c r="BR95" s="808"/>
      <c r="BS95" s="808"/>
      <c r="BT95" s="808"/>
      <c r="BU95" s="808"/>
      <c r="BV95" s="808"/>
      <c r="BW95" s="808"/>
      <c r="BX95" s="808"/>
      <c r="BY95" s="808"/>
      <c r="BZ95" s="808"/>
      <c r="CA95" s="808"/>
      <c r="CB95" s="808"/>
      <c r="CC95" s="808"/>
      <c r="CD95" s="808"/>
      <c r="CE95" s="808"/>
      <c r="CF95" s="808"/>
      <c r="CG95" s="808"/>
      <c r="CH95" s="808"/>
      <c r="CI95" s="808"/>
      <c r="CJ95" s="808"/>
      <c r="CK95" s="808"/>
      <c r="CL95" s="808"/>
      <c r="CM95" s="808"/>
      <c r="CN95" s="808"/>
      <c r="CO95" s="808"/>
      <c r="CP95" s="808"/>
      <c r="CQ95" s="808"/>
      <c r="CR95" s="808"/>
      <c r="CS95" s="808"/>
      <c r="CT95" s="808"/>
      <c r="CU95" s="808"/>
      <c r="CV95" s="808"/>
      <c r="CW95" s="808"/>
      <c r="CX95" s="808"/>
      <c r="CY95" s="808"/>
      <c r="CZ95" s="808"/>
      <c r="DA95" s="808"/>
      <c r="DB95" s="808"/>
      <c r="DC95" s="808"/>
      <c r="DD95" s="808"/>
      <c r="DE95" s="808"/>
      <c r="DF95" s="808"/>
      <c r="DG95" s="808"/>
      <c r="DH95" s="808"/>
      <c r="DI95" s="808"/>
      <c r="DJ95" s="808"/>
      <c r="DK95" s="808"/>
      <c r="DL95" s="808"/>
      <c r="DM95" s="808"/>
      <c r="DN95" s="808"/>
      <c r="DO95" s="808"/>
      <c r="DP95" s="808"/>
    </row>
    <row r="96" spans="1:120">
      <c r="A96" s="821"/>
      <c r="B96" s="813" t="s">
        <v>968</v>
      </c>
      <c r="C96" s="816" t="s">
        <v>195</v>
      </c>
      <c r="D96" s="852">
        <f>+D82-D93</f>
        <v>2576719</v>
      </c>
      <c r="E96" s="852">
        <f t="shared" ref="E96:J96" si="19">+E82-E93</f>
        <v>40628884.411830008</v>
      </c>
      <c r="F96" s="853">
        <f t="shared" si="19"/>
        <v>33467681.561430007</v>
      </c>
      <c r="G96" s="852">
        <f t="shared" si="19"/>
        <v>1253591.2003800003</v>
      </c>
      <c r="H96" s="852">
        <f t="shared" si="19"/>
        <v>2156438.0113899997</v>
      </c>
      <c r="I96" s="852">
        <f t="shared" si="19"/>
        <v>622360.9089800003</v>
      </c>
      <c r="J96" s="852">
        <f t="shared" si="19"/>
        <v>0</v>
      </c>
      <c r="K96" s="852">
        <f t="shared" si="17"/>
        <v>80705675.09401001</v>
      </c>
      <c r="L96" s="824">
        <f>+balance!D21</f>
        <v>137414206967.40826</v>
      </c>
      <c r="M96" s="847"/>
      <c r="N96" s="808"/>
      <c r="O96" s="808"/>
      <c r="P96" s="808"/>
      <c r="Q96" s="808"/>
      <c r="R96" s="808"/>
      <c r="S96" s="808"/>
      <c r="T96" s="808"/>
      <c r="U96" s="808"/>
      <c r="V96" s="808"/>
      <c r="W96" s="808"/>
      <c r="X96" s="808"/>
      <c r="Y96" s="808"/>
      <c r="Z96" s="808"/>
      <c r="AA96" s="808"/>
      <c r="AB96" s="808"/>
      <c r="AC96" s="808"/>
      <c r="AD96" s="808"/>
      <c r="AE96" s="808"/>
      <c r="AF96" s="808"/>
      <c r="AG96" s="808"/>
      <c r="AH96" s="808"/>
      <c r="AI96" s="808"/>
      <c r="AJ96" s="808"/>
      <c r="AK96" s="808"/>
      <c r="AL96" s="808"/>
      <c r="AM96" s="808"/>
      <c r="AN96" s="808"/>
      <c r="AO96" s="808"/>
      <c r="AP96" s="808"/>
      <c r="AQ96" s="808"/>
      <c r="AR96" s="808"/>
      <c r="AS96" s="808"/>
      <c r="AT96" s="808"/>
      <c r="AU96" s="808"/>
      <c r="AV96" s="808"/>
      <c r="AW96" s="808"/>
      <c r="AX96" s="808"/>
      <c r="AY96" s="808"/>
      <c r="AZ96" s="808"/>
      <c r="BA96" s="808"/>
      <c r="BB96" s="808"/>
      <c r="BC96" s="808"/>
      <c r="BD96" s="808"/>
      <c r="BE96" s="808"/>
      <c r="BF96" s="808"/>
      <c r="BG96" s="808"/>
      <c r="BH96" s="808"/>
      <c r="BI96" s="808"/>
      <c r="BJ96" s="808"/>
      <c r="BK96" s="808"/>
      <c r="BL96" s="808"/>
      <c r="BM96" s="808"/>
      <c r="BN96" s="808"/>
      <c r="BO96" s="808"/>
      <c r="BP96" s="808"/>
      <c r="BQ96" s="808"/>
      <c r="BR96" s="808"/>
      <c r="BS96" s="808"/>
      <c r="BT96" s="808"/>
      <c r="BU96" s="808"/>
      <c r="BV96" s="808"/>
      <c r="BW96" s="808"/>
      <c r="BX96" s="808"/>
      <c r="BY96" s="808"/>
      <c r="BZ96" s="808"/>
      <c r="CA96" s="808"/>
      <c r="CB96" s="808"/>
      <c r="CC96" s="808"/>
      <c r="CD96" s="808"/>
      <c r="CE96" s="808"/>
      <c r="CF96" s="808"/>
      <c r="CG96" s="808"/>
      <c r="CH96" s="808"/>
      <c r="CI96" s="808"/>
      <c r="CJ96" s="808"/>
      <c r="CK96" s="808"/>
      <c r="CL96" s="808"/>
      <c r="CM96" s="808"/>
      <c r="CN96" s="808"/>
      <c r="CO96" s="808"/>
      <c r="CP96" s="808"/>
      <c r="CQ96" s="808"/>
      <c r="CR96" s="808"/>
      <c r="CS96" s="808"/>
      <c r="CT96" s="808"/>
      <c r="CU96" s="808"/>
      <c r="CV96" s="808"/>
      <c r="CW96" s="808"/>
      <c r="CX96" s="808"/>
      <c r="CY96" s="808"/>
      <c r="CZ96" s="808"/>
      <c r="DA96" s="808"/>
      <c r="DB96" s="808"/>
      <c r="DC96" s="808"/>
      <c r="DD96" s="808"/>
      <c r="DE96" s="808"/>
      <c r="DF96" s="808"/>
      <c r="DG96" s="808"/>
      <c r="DH96" s="808"/>
      <c r="DI96" s="808"/>
      <c r="DJ96" s="808"/>
      <c r="DK96" s="808"/>
      <c r="DL96" s="808"/>
      <c r="DM96" s="808"/>
      <c r="DN96" s="808"/>
      <c r="DO96" s="808"/>
      <c r="DP96" s="808"/>
    </row>
    <row r="97" spans="1:120">
      <c r="A97" s="821"/>
      <c r="B97" s="809" t="s">
        <v>1204</v>
      </c>
      <c r="C97" s="808"/>
      <c r="D97" s="214">
        <f>+D99-D101</f>
        <v>2576719</v>
      </c>
      <c r="E97" s="214">
        <f t="shared" ref="E97:J97" si="20">+E99-E101</f>
        <v>40628884.436170004</v>
      </c>
      <c r="F97" s="214">
        <f t="shared" si="20"/>
        <v>31200844.900360003</v>
      </c>
      <c r="G97" s="214">
        <f t="shared" si="20"/>
        <v>1253591.1549999998</v>
      </c>
      <c r="H97" s="214">
        <f t="shared" si="20"/>
        <v>2156437.9791000001</v>
      </c>
      <c r="I97" s="214">
        <f t="shared" si="20"/>
        <v>622360.92690000031</v>
      </c>
      <c r="J97" s="214">
        <f t="shared" si="20"/>
        <v>0</v>
      </c>
      <c r="K97" s="823">
        <f>SUM(D97:J97)</f>
        <v>78438838.397530004</v>
      </c>
      <c r="L97" s="214">
        <f>+L96/1000</f>
        <v>137414206.96740827</v>
      </c>
      <c r="M97" s="808"/>
      <c r="N97" s="808"/>
      <c r="O97" s="808"/>
      <c r="P97" s="808"/>
      <c r="Q97" s="808"/>
      <c r="R97" s="808"/>
      <c r="S97" s="808"/>
      <c r="T97" s="808"/>
      <c r="U97" s="808"/>
      <c r="V97" s="808"/>
      <c r="W97" s="808"/>
      <c r="X97" s="808"/>
      <c r="Y97" s="808"/>
      <c r="Z97" s="808"/>
      <c r="AA97" s="808"/>
      <c r="AB97" s="808"/>
      <c r="AC97" s="808"/>
      <c r="AD97" s="808"/>
      <c r="AE97" s="808"/>
      <c r="AF97" s="808"/>
      <c r="AG97" s="808"/>
      <c r="AH97" s="808"/>
      <c r="AI97" s="808"/>
      <c r="AJ97" s="808"/>
      <c r="AK97" s="808"/>
      <c r="AL97" s="808"/>
      <c r="AM97" s="808"/>
      <c r="AN97" s="808"/>
      <c r="AO97" s="808"/>
      <c r="AP97" s="808"/>
      <c r="AQ97" s="808"/>
      <c r="AR97" s="808"/>
      <c r="AS97" s="808"/>
      <c r="AT97" s="808"/>
      <c r="AU97" s="808"/>
      <c r="AV97" s="808"/>
      <c r="AW97" s="808"/>
      <c r="AX97" s="808"/>
      <c r="AY97" s="808"/>
      <c r="AZ97" s="808"/>
      <c r="BA97" s="808"/>
      <c r="BB97" s="808"/>
      <c r="BC97" s="808"/>
      <c r="BD97" s="808"/>
      <c r="BE97" s="808"/>
      <c r="BF97" s="808"/>
      <c r="BG97" s="808"/>
      <c r="BH97" s="808"/>
      <c r="BI97" s="808"/>
      <c r="BJ97" s="808"/>
      <c r="BK97" s="808"/>
      <c r="BL97" s="808"/>
      <c r="BM97" s="808"/>
      <c r="BN97" s="808"/>
      <c r="BO97" s="808"/>
      <c r="BP97" s="808"/>
      <c r="BQ97" s="808"/>
      <c r="BR97" s="808"/>
      <c r="BS97" s="808"/>
      <c r="BT97" s="808"/>
      <c r="BU97" s="808"/>
      <c r="BV97" s="808"/>
      <c r="BW97" s="808"/>
      <c r="BX97" s="808"/>
      <c r="BY97" s="808"/>
      <c r="BZ97" s="808"/>
      <c r="CA97" s="808"/>
      <c r="CB97" s="808"/>
      <c r="CC97" s="808"/>
      <c r="CD97" s="808"/>
      <c r="CE97" s="808"/>
      <c r="CF97" s="808"/>
      <c r="CG97" s="808"/>
      <c r="CH97" s="808"/>
      <c r="CI97" s="808"/>
      <c r="CJ97" s="808"/>
      <c r="CK97" s="808"/>
      <c r="CL97" s="808"/>
      <c r="CM97" s="808"/>
      <c r="CN97" s="808"/>
      <c r="CO97" s="808"/>
      <c r="CP97" s="808"/>
      <c r="CQ97" s="808"/>
      <c r="CR97" s="808"/>
      <c r="CS97" s="808"/>
      <c r="CT97" s="808"/>
      <c r="CU97" s="808"/>
      <c r="CV97" s="808"/>
      <c r="CW97" s="808"/>
      <c r="CX97" s="808"/>
      <c r="CY97" s="808"/>
      <c r="CZ97" s="808"/>
      <c r="DA97" s="808"/>
      <c r="DB97" s="808"/>
      <c r="DC97" s="808"/>
      <c r="DD97" s="808"/>
      <c r="DE97" s="808"/>
      <c r="DF97" s="808"/>
      <c r="DG97" s="808"/>
      <c r="DH97" s="808"/>
      <c r="DI97" s="808"/>
      <c r="DJ97" s="808"/>
      <c r="DK97" s="808"/>
      <c r="DL97" s="808"/>
      <c r="DM97" s="808"/>
      <c r="DN97" s="808"/>
      <c r="DO97" s="808"/>
      <c r="DP97" s="808"/>
    </row>
    <row r="98" spans="1:120">
      <c r="A98" s="821"/>
      <c r="B98" s="809" t="s">
        <v>1256</v>
      </c>
      <c r="C98" s="808"/>
      <c r="D98" s="214">
        <f>+D97-D96</f>
        <v>0</v>
      </c>
      <c r="E98" s="214">
        <f t="shared" ref="E98:K98" si="21">+E97-E96</f>
        <v>2.433999627828598E-2</v>
      </c>
      <c r="F98" s="214">
        <f t="shared" si="21"/>
        <v>-2266836.6610700041</v>
      </c>
      <c r="G98" s="214">
        <f t="shared" si="21"/>
        <v>-4.5380000490695238E-2</v>
      </c>
      <c r="H98" s="214">
        <f t="shared" si="21"/>
        <v>-3.2289999537169933E-2</v>
      </c>
      <c r="I98" s="214">
        <f t="shared" si="21"/>
        <v>1.792000001296401E-2</v>
      </c>
      <c r="J98" s="214">
        <f t="shared" si="21"/>
        <v>0</v>
      </c>
      <c r="K98" s="823">
        <f t="shared" si="21"/>
        <v>-2266836.696480006</v>
      </c>
      <c r="L98" s="214">
        <f>+L97-K96</f>
        <v>56708531.873398259</v>
      </c>
      <c r="M98" s="808"/>
      <c r="N98" s="808"/>
      <c r="O98" s="808"/>
      <c r="P98" s="808"/>
      <c r="Q98" s="808"/>
      <c r="R98" s="808"/>
      <c r="S98" s="808"/>
      <c r="T98" s="808"/>
      <c r="U98" s="808"/>
      <c r="V98" s="808"/>
      <c r="W98" s="808"/>
      <c r="X98" s="808"/>
      <c r="Y98" s="808"/>
      <c r="Z98" s="808"/>
      <c r="AA98" s="808"/>
      <c r="AB98" s="808"/>
      <c r="AC98" s="808"/>
      <c r="AD98" s="808"/>
      <c r="AE98" s="808"/>
      <c r="AF98" s="808"/>
      <c r="AG98" s="808"/>
      <c r="AH98" s="808"/>
      <c r="AI98" s="808"/>
      <c r="AJ98" s="808"/>
      <c r="AK98" s="808"/>
      <c r="AL98" s="808"/>
      <c r="AM98" s="808"/>
      <c r="AN98" s="808"/>
      <c r="AO98" s="808"/>
      <c r="AP98" s="808"/>
      <c r="AQ98" s="808"/>
      <c r="AR98" s="808"/>
      <c r="AS98" s="808"/>
      <c r="AT98" s="808"/>
      <c r="AU98" s="808"/>
      <c r="AV98" s="808"/>
      <c r="AW98" s="808"/>
      <c r="AX98" s="808"/>
      <c r="AY98" s="808"/>
      <c r="AZ98" s="808"/>
      <c r="BA98" s="808"/>
      <c r="BB98" s="808"/>
      <c r="BC98" s="808"/>
      <c r="BD98" s="808"/>
      <c r="BE98" s="808"/>
      <c r="BF98" s="808"/>
      <c r="BG98" s="808"/>
      <c r="BH98" s="808"/>
      <c r="BI98" s="808"/>
      <c r="BJ98" s="808"/>
      <c r="BK98" s="808"/>
      <c r="BL98" s="808"/>
      <c r="BM98" s="808"/>
      <c r="BN98" s="808"/>
      <c r="BO98" s="808"/>
      <c r="BP98" s="808"/>
      <c r="BQ98" s="808"/>
      <c r="BR98" s="808"/>
      <c r="BS98" s="808"/>
      <c r="BT98" s="808"/>
      <c r="BU98" s="808"/>
      <c r="BV98" s="808"/>
      <c r="BW98" s="808"/>
      <c r="BX98" s="808"/>
      <c r="BY98" s="808"/>
      <c r="BZ98" s="808"/>
      <c r="CA98" s="808"/>
      <c r="CB98" s="808"/>
      <c r="CC98" s="808"/>
      <c r="CD98" s="808"/>
      <c r="CE98" s="808"/>
      <c r="CF98" s="808"/>
      <c r="CG98" s="808"/>
      <c r="CH98" s="808"/>
      <c r="CI98" s="808"/>
      <c r="CJ98" s="808"/>
      <c r="CK98" s="808"/>
      <c r="CL98" s="808"/>
      <c r="CM98" s="808"/>
      <c r="CN98" s="808"/>
      <c r="CO98" s="808"/>
      <c r="CP98" s="808"/>
      <c r="CQ98" s="808"/>
      <c r="CR98" s="808"/>
      <c r="CS98" s="808"/>
      <c r="CT98" s="808"/>
      <c r="CU98" s="808"/>
      <c r="CV98" s="808"/>
      <c r="CW98" s="808"/>
      <c r="CX98" s="808"/>
      <c r="CY98" s="808"/>
      <c r="CZ98" s="808"/>
      <c r="DA98" s="808"/>
      <c r="DB98" s="808"/>
      <c r="DC98" s="808"/>
      <c r="DD98" s="808"/>
      <c r="DE98" s="808"/>
      <c r="DF98" s="808"/>
      <c r="DG98" s="808"/>
      <c r="DH98" s="808"/>
      <c r="DI98" s="808"/>
      <c r="DJ98" s="808"/>
      <c r="DK98" s="808"/>
      <c r="DL98" s="808"/>
      <c r="DM98" s="808"/>
      <c r="DN98" s="808"/>
      <c r="DO98" s="808"/>
      <c r="DP98" s="808"/>
    </row>
    <row r="99" spans="1:120">
      <c r="A99" s="821"/>
      <c r="B99" s="809"/>
      <c r="C99" s="808"/>
      <c r="D99" s="214">
        <v>2576719</v>
      </c>
      <c r="E99" s="214">
        <v>43346762.928000003</v>
      </c>
      <c r="F99" s="214">
        <v>62034626.093000002</v>
      </c>
      <c r="G99" s="214">
        <v>1960229.7749999999</v>
      </c>
      <c r="H99" s="214">
        <v>3094602.2125599999</v>
      </c>
      <c r="I99" s="214">
        <v>2268663.9519000002</v>
      </c>
      <c r="K99" s="823">
        <f>SUM(D99:J99)</f>
        <v>115281603.96046001</v>
      </c>
      <c r="M99" s="808"/>
      <c r="N99" s="808"/>
      <c r="O99" s="808"/>
      <c r="P99" s="808"/>
      <c r="Q99" s="808"/>
      <c r="R99" s="808"/>
      <c r="S99" s="808"/>
      <c r="T99" s="808"/>
      <c r="U99" s="808"/>
      <c r="V99" s="808"/>
      <c r="W99" s="808"/>
      <c r="X99" s="808"/>
      <c r="Y99" s="808"/>
      <c r="Z99" s="808"/>
      <c r="AA99" s="808"/>
      <c r="AB99" s="808"/>
      <c r="AC99" s="808"/>
      <c r="AD99" s="808"/>
      <c r="AE99" s="808"/>
      <c r="AF99" s="808"/>
      <c r="AG99" s="808"/>
      <c r="AH99" s="808"/>
      <c r="AI99" s="808"/>
      <c r="AJ99" s="808"/>
      <c r="AK99" s="808"/>
      <c r="AL99" s="808"/>
      <c r="AM99" s="808"/>
      <c r="AN99" s="808"/>
      <c r="AO99" s="808"/>
      <c r="AP99" s="808"/>
      <c r="AQ99" s="808"/>
      <c r="AR99" s="808"/>
      <c r="AS99" s="808"/>
      <c r="AT99" s="808"/>
      <c r="AU99" s="808"/>
      <c r="AV99" s="808"/>
      <c r="AW99" s="808"/>
      <c r="AX99" s="808"/>
      <c r="AY99" s="808"/>
      <c r="AZ99" s="808"/>
      <c r="BA99" s="808"/>
      <c r="BB99" s="808"/>
      <c r="BC99" s="808"/>
      <c r="BD99" s="808"/>
      <c r="BE99" s="808"/>
      <c r="BF99" s="808"/>
      <c r="BG99" s="808"/>
      <c r="BH99" s="808"/>
      <c r="BI99" s="808"/>
      <c r="BJ99" s="808"/>
      <c r="BK99" s="808"/>
      <c r="BL99" s="808"/>
      <c r="BM99" s="808"/>
      <c r="BN99" s="808"/>
      <c r="BO99" s="808"/>
      <c r="BP99" s="808"/>
      <c r="BQ99" s="808"/>
      <c r="BR99" s="808"/>
      <c r="BS99" s="808"/>
      <c r="BT99" s="808"/>
      <c r="BU99" s="808"/>
      <c r="BV99" s="808"/>
      <c r="BW99" s="808"/>
      <c r="BX99" s="808"/>
      <c r="BY99" s="808"/>
      <c r="BZ99" s="808"/>
      <c r="CA99" s="808"/>
      <c r="CB99" s="808"/>
      <c r="CC99" s="808"/>
      <c r="CD99" s="808"/>
      <c r="CE99" s="808"/>
      <c r="CF99" s="808"/>
      <c r="CG99" s="808"/>
      <c r="CH99" s="808"/>
      <c r="CI99" s="808"/>
      <c r="CJ99" s="808"/>
      <c r="CK99" s="808"/>
      <c r="CL99" s="808"/>
      <c r="CM99" s="808"/>
      <c r="CN99" s="808"/>
      <c r="CO99" s="808"/>
      <c r="CP99" s="808"/>
      <c r="CQ99" s="808"/>
      <c r="CR99" s="808"/>
      <c r="CS99" s="808"/>
      <c r="CT99" s="808"/>
      <c r="CU99" s="808"/>
      <c r="CV99" s="808"/>
      <c r="CW99" s="808"/>
      <c r="CX99" s="808"/>
      <c r="CY99" s="808"/>
      <c r="CZ99" s="808"/>
      <c r="DA99" s="808"/>
      <c r="DB99" s="808"/>
      <c r="DC99" s="808"/>
      <c r="DD99" s="808"/>
      <c r="DE99" s="808"/>
      <c r="DF99" s="808"/>
      <c r="DG99" s="808"/>
      <c r="DH99" s="808"/>
      <c r="DI99" s="808"/>
      <c r="DJ99" s="808"/>
      <c r="DK99" s="808"/>
      <c r="DL99" s="808"/>
      <c r="DM99" s="808"/>
      <c r="DN99" s="808"/>
      <c r="DO99" s="808"/>
      <c r="DP99" s="808"/>
    </row>
    <row r="100" spans="1:120">
      <c r="A100" s="821"/>
      <c r="B100" s="809"/>
      <c r="C100" s="808"/>
      <c r="D100" s="214">
        <f>+D99-D96</f>
        <v>0</v>
      </c>
      <c r="E100" s="214">
        <f>+E99-E82</f>
        <v>-3.2000243663787842E-4</v>
      </c>
      <c r="F100" s="214">
        <f t="shared" ref="F100:K100" si="22">+F99-F82</f>
        <v>-2266836.6177000031</v>
      </c>
      <c r="G100" s="214">
        <f t="shared" si="22"/>
        <v>-1.855000015348196E-2</v>
      </c>
      <c r="H100" s="214">
        <f t="shared" si="22"/>
        <v>-3.6200000904500484E-3</v>
      </c>
      <c r="I100" s="214">
        <f t="shared" si="22"/>
        <v>-0.1958300000987947</v>
      </c>
      <c r="J100" s="214">
        <f t="shared" si="22"/>
        <v>0</v>
      </c>
      <c r="K100" s="823">
        <f t="shared" si="22"/>
        <v>-2266836.8360199928</v>
      </c>
      <c r="M100" s="808"/>
      <c r="N100" s="808"/>
      <c r="O100" s="808"/>
      <c r="P100" s="808"/>
      <c r="Q100" s="808"/>
      <c r="R100" s="808"/>
      <c r="S100" s="808"/>
      <c r="T100" s="808"/>
      <c r="U100" s="808"/>
      <c r="V100" s="808"/>
      <c r="W100" s="808"/>
      <c r="X100" s="808"/>
      <c r="Y100" s="808"/>
      <c r="Z100" s="808"/>
      <c r="AA100" s="808"/>
      <c r="AB100" s="808"/>
      <c r="AC100" s="808"/>
      <c r="AD100" s="808"/>
      <c r="AE100" s="808"/>
      <c r="AF100" s="808"/>
      <c r="AG100" s="808"/>
      <c r="AH100" s="808"/>
      <c r="AI100" s="808"/>
      <c r="AJ100" s="808"/>
      <c r="AK100" s="808"/>
      <c r="AL100" s="808"/>
      <c r="AM100" s="808"/>
      <c r="AN100" s="808"/>
      <c r="AO100" s="808"/>
      <c r="AP100" s="808"/>
      <c r="AQ100" s="808"/>
      <c r="AR100" s="808"/>
      <c r="AS100" s="808"/>
      <c r="AT100" s="808"/>
      <c r="AU100" s="808"/>
      <c r="AV100" s="808"/>
      <c r="AW100" s="808"/>
      <c r="AX100" s="808"/>
      <c r="AY100" s="808"/>
      <c r="AZ100" s="808"/>
      <c r="BA100" s="808"/>
      <c r="BB100" s="808"/>
      <c r="BC100" s="808"/>
      <c r="BD100" s="808"/>
      <c r="BE100" s="808"/>
      <c r="BF100" s="808"/>
      <c r="BG100" s="808"/>
      <c r="BH100" s="808"/>
      <c r="BI100" s="808"/>
      <c r="BJ100" s="808"/>
      <c r="BK100" s="808"/>
      <c r="BL100" s="808"/>
      <c r="BM100" s="808"/>
      <c r="BN100" s="808"/>
      <c r="BO100" s="808"/>
      <c r="BP100" s="808"/>
      <c r="BQ100" s="808"/>
      <c r="BR100" s="808"/>
      <c r="BS100" s="808"/>
      <c r="BT100" s="808"/>
      <c r="BU100" s="808"/>
      <c r="BV100" s="808"/>
      <c r="BW100" s="808"/>
      <c r="BX100" s="808"/>
      <c r="BY100" s="808"/>
      <c r="BZ100" s="808"/>
      <c r="CA100" s="808"/>
      <c r="CB100" s="808"/>
      <c r="CC100" s="808"/>
      <c r="CD100" s="808"/>
      <c r="CE100" s="808"/>
      <c r="CF100" s="808"/>
      <c r="CG100" s="808"/>
      <c r="CH100" s="808"/>
      <c r="CI100" s="808"/>
      <c r="CJ100" s="808"/>
      <c r="CK100" s="808"/>
      <c r="CL100" s="808"/>
      <c r="CM100" s="808"/>
      <c r="CN100" s="808"/>
      <c r="CO100" s="808"/>
      <c r="CP100" s="808"/>
      <c r="CQ100" s="808"/>
      <c r="CR100" s="808"/>
      <c r="CS100" s="808"/>
      <c r="CT100" s="808"/>
      <c r="CU100" s="808"/>
      <c r="CV100" s="808"/>
      <c r="CW100" s="808"/>
      <c r="CX100" s="808"/>
      <c r="CY100" s="808"/>
      <c r="CZ100" s="808"/>
      <c r="DA100" s="808"/>
      <c r="DB100" s="808"/>
      <c r="DC100" s="808"/>
      <c r="DD100" s="808"/>
      <c r="DE100" s="808"/>
      <c r="DF100" s="808"/>
      <c r="DG100" s="808"/>
      <c r="DH100" s="808"/>
      <c r="DI100" s="808"/>
      <c r="DJ100" s="808"/>
      <c r="DK100" s="808"/>
      <c r="DL100" s="808"/>
      <c r="DM100" s="808"/>
      <c r="DN100" s="808"/>
      <c r="DO100" s="808"/>
      <c r="DP100" s="808"/>
    </row>
    <row r="101" spans="1:120">
      <c r="A101" s="821"/>
      <c r="B101" s="809"/>
      <c r="C101" s="808"/>
      <c r="D101" s="214">
        <v>0</v>
      </c>
      <c r="E101" s="214">
        <v>2717878.4918300002</v>
      </c>
      <c r="F101" s="214">
        <v>30833781.192639999</v>
      </c>
      <c r="G101" s="214">
        <v>706638.62</v>
      </c>
      <c r="H101" s="214">
        <v>938164.23346000002</v>
      </c>
      <c r="I101" s="214">
        <v>1646303.0249999999</v>
      </c>
      <c r="K101" s="823"/>
      <c r="M101" s="808"/>
      <c r="N101" s="808"/>
      <c r="O101" s="808"/>
      <c r="P101" s="808"/>
      <c r="Q101" s="808"/>
      <c r="R101" s="808"/>
      <c r="S101" s="808"/>
      <c r="T101" s="808"/>
      <c r="U101" s="808"/>
      <c r="V101" s="808"/>
      <c r="W101" s="808"/>
      <c r="X101" s="808"/>
      <c r="Y101" s="808"/>
      <c r="Z101" s="808"/>
      <c r="AA101" s="808"/>
      <c r="AB101" s="808"/>
      <c r="AC101" s="808"/>
      <c r="AD101" s="808"/>
      <c r="AE101" s="808"/>
      <c r="AF101" s="808"/>
      <c r="AG101" s="808"/>
      <c r="AH101" s="808"/>
      <c r="AI101" s="808"/>
      <c r="AJ101" s="808"/>
      <c r="AK101" s="808"/>
      <c r="AL101" s="808"/>
      <c r="AM101" s="808"/>
      <c r="AN101" s="808"/>
      <c r="AO101" s="808"/>
      <c r="AP101" s="808"/>
      <c r="AQ101" s="808"/>
      <c r="AR101" s="808"/>
      <c r="AS101" s="808"/>
      <c r="AT101" s="808"/>
      <c r="AU101" s="808"/>
      <c r="AV101" s="808"/>
      <c r="AW101" s="808"/>
      <c r="AX101" s="808"/>
      <c r="AY101" s="808"/>
      <c r="AZ101" s="808"/>
      <c r="BA101" s="808"/>
      <c r="BB101" s="808"/>
      <c r="BC101" s="808"/>
      <c r="BD101" s="808"/>
      <c r="BE101" s="808"/>
      <c r="BF101" s="808"/>
      <c r="BG101" s="808"/>
      <c r="BH101" s="808"/>
      <c r="BI101" s="808"/>
      <c r="BJ101" s="808"/>
      <c r="BK101" s="808"/>
      <c r="BL101" s="808"/>
      <c r="BM101" s="808"/>
      <c r="BN101" s="808"/>
      <c r="BO101" s="808"/>
      <c r="BP101" s="808"/>
      <c r="BQ101" s="808"/>
      <c r="BR101" s="808"/>
      <c r="BS101" s="808"/>
      <c r="BT101" s="808"/>
      <c r="BU101" s="808"/>
      <c r="BV101" s="808"/>
      <c r="BW101" s="808"/>
      <c r="BX101" s="808"/>
      <c r="BY101" s="808"/>
      <c r="BZ101" s="808"/>
      <c r="CA101" s="808"/>
      <c r="CB101" s="808"/>
      <c r="CC101" s="808"/>
      <c r="CD101" s="808"/>
      <c r="CE101" s="808"/>
      <c r="CF101" s="808"/>
      <c r="CG101" s="808"/>
      <c r="CH101" s="808"/>
      <c r="CI101" s="808"/>
      <c r="CJ101" s="808"/>
      <c r="CK101" s="808"/>
      <c r="CL101" s="808"/>
      <c r="CM101" s="808"/>
      <c r="CN101" s="808"/>
      <c r="CO101" s="808"/>
      <c r="CP101" s="808"/>
      <c r="CQ101" s="808"/>
      <c r="CR101" s="808"/>
      <c r="CS101" s="808"/>
      <c r="CT101" s="808"/>
      <c r="CU101" s="808"/>
      <c r="CV101" s="808"/>
      <c r="CW101" s="808"/>
      <c r="CX101" s="808"/>
      <c r="CY101" s="808"/>
      <c r="CZ101" s="808"/>
      <c r="DA101" s="808"/>
      <c r="DB101" s="808"/>
      <c r="DC101" s="808"/>
      <c r="DD101" s="808"/>
      <c r="DE101" s="808"/>
      <c r="DF101" s="808"/>
      <c r="DG101" s="808"/>
      <c r="DH101" s="808"/>
      <c r="DI101" s="808"/>
      <c r="DJ101" s="808"/>
      <c r="DK101" s="808"/>
      <c r="DL101" s="808"/>
      <c r="DM101" s="808"/>
      <c r="DN101" s="808"/>
      <c r="DO101" s="808"/>
      <c r="DP101" s="808"/>
    </row>
    <row r="102" spans="1:120">
      <c r="A102" s="821"/>
      <c r="B102" s="809"/>
      <c r="C102" s="808"/>
      <c r="E102" s="214">
        <f>+E101-E93</f>
        <v>-2.4659999646246433E-2</v>
      </c>
      <c r="F102" s="214">
        <f t="shared" ref="F102:J102" si="23">+F101-F93</f>
        <v>4.3370001018047333E-2</v>
      </c>
      <c r="G102" s="214">
        <f t="shared" si="23"/>
        <v>2.6830000104382634E-2</v>
      </c>
      <c r="H102" s="214">
        <f t="shared" si="23"/>
        <v>2.866999979596585E-2</v>
      </c>
      <c r="I102" s="214">
        <f t="shared" si="23"/>
        <v>-0.21375000011175871</v>
      </c>
      <c r="J102" s="214">
        <f t="shared" si="23"/>
        <v>0</v>
      </c>
      <c r="K102" s="823">
        <f>SUM(D102:J102)</f>
        <v>-0.13953999883960932</v>
      </c>
      <c r="M102" s="808"/>
      <c r="N102" s="808"/>
      <c r="O102" s="808"/>
      <c r="P102" s="808"/>
      <c r="Q102" s="808"/>
      <c r="R102" s="808"/>
      <c r="S102" s="808"/>
      <c r="T102" s="808"/>
      <c r="U102" s="808"/>
      <c r="V102" s="808"/>
      <c r="W102" s="808"/>
      <c r="X102" s="808"/>
      <c r="Y102" s="808"/>
      <c r="Z102" s="808"/>
      <c r="AA102" s="808"/>
      <c r="AB102" s="808"/>
      <c r="AC102" s="808"/>
      <c r="AD102" s="808"/>
      <c r="AE102" s="808"/>
      <c r="AF102" s="808"/>
      <c r="AG102" s="808"/>
      <c r="AH102" s="808"/>
      <c r="AI102" s="808"/>
      <c r="AJ102" s="808"/>
      <c r="AK102" s="808"/>
      <c r="AL102" s="808"/>
      <c r="AM102" s="808"/>
      <c r="AN102" s="808"/>
      <c r="AO102" s="808"/>
      <c r="AP102" s="808"/>
      <c r="AQ102" s="808"/>
      <c r="AR102" s="808"/>
      <c r="AS102" s="808"/>
      <c r="AT102" s="808"/>
      <c r="AU102" s="808"/>
      <c r="AV102" s="808"/>
      <c r="AW102" s="808"/>
      <c r="AX102" s="808"/>
      <c r="AY102" s="808"/>
      <c r="AZ102" s="808"/>
      <c r="BA102" s="808"/>
      <c r="BB102" s="808"/>
      <c r="BC102" s="808"/>
      <c r="BD102" s="808"/>
      <c r="BE102" s="808"/>
      <c r="BF102" s="808"/>
      <c r="BG102" s="808"/>
      <c r="BH102" s="808"/>
      <c r="BI102" s="808"/>
      <c r="BJ102" s="808"/>
      <c r="BK102" s="808"/>
      <c r="BL102" s="808"/>
      <c r="BM102" s="808"/>
      <c r="BN102" s="808"/>
      <c r="BO102" s="808"/>
      <c r="BP102" s="808"/>
      <c r="BQ102" s="808"/>
      <c r="BR102" s="808"/>
      <c r="BS102" s="808"/>
      <c r="BT102" s="808"/>
      <c r="BU102" s="808"/>
      <c r="BV102" s="808"/>
      <c r="BW102" s="808"/>
      <c r="BX102" s="808"/>
      <c r="BY102" s="808"/>
      <c r="BZ102" s="808"/>
      <c r="CA102" s="808"/>
      <c r="CB102" s="808"/>
      <c r="CC102" s="808"/>
      <c r="CD102" s="808"/>
      <c r="CE102" s="808"/>
      <c r="CF102" s="808"/>
      <c r="CG102" s="808"/>
      <c r="CH102" s="808"/>
      <c r="CI102" s="808"/>
      <c r="CJ102" s="808"/>
      <c r="CK102" s="808"/>
      <c r="CL102" s="808"/>
      <c r="CM102" s="808"/>
      <c r="CN102" s="808"/>
      <c r="CO102" s="808"/>
      <c r="CP102" s="808"/>
      <c r="CQ102" s="808"/>
      <c r="CR102" s="808"/>
      <c r="CS102" s="808"/>
      <c r="CT102" s="808"/>
      <c r="CU102" s="808"/>
      <c r="CV102" s="808"/>
      <c r="CW102" s="808"/>
      <c r="CX102" s="808"/>
      <c r="CY102" s="808"/>
      <c r="CZ102" s="808"/>
      <c r="DA102" s="808"/>
      <c r="DB102" s="808"/>
      <c r="DC102" s="808"/>
      <c r="DD102" s="808"/>
      <c r="DE102" s="808"/>
      <c r="DF102" s="808"/>
      <c r="DG102" s="808"/>
      <c r="DH102" s="808"/>
      <c r="DI102" s="808"/>
      <c r="DJ102" s="808"/>
      <c r="DK102" s="808"/>
      <c r="DL102" s="808"/>
      <c r="DM102" s="808"/>
      <c r="DN102" s="808"/>
      <c r="DO102" s="808"/>
      <c r="DP102" s="808"/>
    </row>
    <row r="103" spans="1:120">
      <c r="A103" s="821"/>
      <c r="B103" s="807"/>
      <c r="C103" s="808"/>
      <c r="G103" s="810" t="s">
        <v>1203</v>
      </c>
      <c r="K103" s="808"/>
      <c r="M103" s="808"/>
      <c r="N103" s="808"/>
      <c r="O103" s="808"/>
      <c r="P103" s="808"/>
      <c r="Q103" s="808"/>
      <c r="R103" s="808"/>
      <c r="S103" s="808"/>
      <c r="T103" s="808"/>
      <c r="U103" s="808"/>
      <c r="V103" s="808"/>
      <c r="W103" s="808"/>
      <c r="X103" s="808"/>
      <c r="Y103" s="808"/>
      <c r="Z103" s="808"/>
      <c r="AA103" s="808"/>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08"/>
      <c r="AY103" s="808"/>
      <c r="AZ103" s="808"/>
      <c r="BA103" s="808"/>
      <c r="BB103" s="808"/>
      <c r="BC103" s="808"/>
      <c r="BD103" s="808"/>
      <c r="BE103" s="808"/>
      <c r="BF103" s="808"/>
      <c r="BG103" s="808"/>
      <c r="BH103" s="808"/>
      <c r="BI103" s="808"/>
      <c r="BJ103" s="808"/>
      <c r="BK103" s="808"/>
      <c r="BL103" s="808"/>
      <c r="BM103" s="808"/>
      <c r="BN103" s="808"/>
      <c r="BO103" s="808"/>
      <c r="BP103" s="808"/>
      <c r="BQ103" s="808"/>
      <c r="BR103" s="808"/>
      <c r="BS103" s="808"/>
      <c r="BT103" s="808"/>
      <c r="BU103" s="808"/>
      <c r="BV103" s="808"/>
      <c r="BW103" s="808"/>
      <c r="BX103" s="808"/>
      <c r="BY103" s="808"/>
      <c r="BZ103" s="808"/>
      <c r="CA103" s="808"/>
      <c r="CB103" s="808"/>
      <c r="CC103" s="808"/>
      <c r="CD103" s="808"/>
      <c r="CE103" s="808"/>
      <c r="CF103" s="808"/>
      <c r="CG103" s="808"/>
      <c r="CH103" s="808"/>
      <c r="CI103" s="808"/>
      <c r="CJ103" s="808"/>
      <c r="CK103" s="808"/>
      <c r="CL103" s="808"/>
      <c r="CM103" s="808"/>
      <c r="CN103" s="808"/>
      <c r="CO103" s="808"/>
      <c r="CP103" s="808"/>
      <c r="CQ103" s="808"/>
      <c r="CR103" s="808"/>
      <c r="CS103" s="808"/>
      <c r="CT103" s="808"/>
      <c r="CU103" s="808"/>
      <c r="CV103" s="808"/>
      <c r="CW103" s="808"/>
      <c r="CX103" s="808"/>
      <c r="CY103" s="808"/>
      <c r="CZ103" s="808"/>
      <c r="DA103" s="808"/>
      <c r="DB103" s="808"/>
      <c r="DC103" s="808"/>
      <c r="DD103" s="808"/>
      <c r="DE103" s="808"/>
      <c r="DF103" s="808"/>
      <c r="DG103" s="808"/>
      <c r="DH103" s="808"/>
      <c r="DI103" s="808"/>
      <c r="DJ103" s="808"/>
      <c r="DK103" s="808"/>
      <c r="DL103" s="808"/>
      <c r="DM103" s="808"/>
      <c r="DN103" s="808"/>
      <c r="DO103" s="808"/>
      <c r="DP103" s="808"/>
    </row>
    <row r="104" spans="1:120" ht="26.4">
      <c r="A104" s="821"/>
      <c r="B104" s="811" t="s">
        <v>79</v>
      </c>
      <c r="C104" s="811" t="s">
        <v>5</v>
      </c>
      <c r="D104" s="812" t="s">
        <v>1257</v>
      </c>
      <c r="E104" s="812" t="s">
        <v>293</v>
      </c>
      <c r="F104" s="812" t="s">
        <v>1258</v>
      </c>
      <c r="G104" s="812" t="s">
        <v>295</v>
      </c>
      <c r="K104" s="808"/>
      <c r="M104" s="808"/>
      <c r="N104" s="808"/>
      <c r="O104" s="808"/>
      <c r="P104" s="808"/>
      <c r="Q104" s="808"/>
      <c r="R104" s="808"/>
      <c r="S104" s="808"/>
      <c r="T104" s="808"/>
      <c r="U104" s="808"/>
      <c r="V104" s="808"/>
      <c r="W104" s="808"/>
      <c r="X104" s="808"/>
      <c r="Y104" s="808"/>
      <c r="Z104" s="808"/>
      <c r="AA104" s="808"/>
      <c r="AB104" s="808"/>
      <c r="AC104" s="808"/>
      <c r="AD104" s="808"/>
      <c r="AE104" s="808"/>
      <c r="AF104" s="808"/>
      <c r="AG104" s="808"/>
      <c r="AH104" s="808"/>
      <c r="AI104" s="808"/>
      <c r="AJ104" s="808"/>
      <c r="AK104" s="808"/>
      <c r="AL104" s="808"/>
      <c r="AM104" s="808"/>
      <c r="AN104" s="808"/>
      <c r="AO104" s="808"/>
      <c r="AP104" s="808"/>
      <c r="AQ104" s="808"/>
      <c r="AR104" s="808"/>
      <c r="AS104" s="808"/>
      <c r="AT104" s="808"/>
      <c r="AU104" s="808"/>
      <c r="AV104" s="808"/>
      <c r="AW104" s="808"/>
      <c r="AX104" s="808"/>
      <c r="AY104" s="808"/>
      <c r="AZ104" s="808"/>
      <c r="BA104" s="808"/>
      <c r="BB104" s="808"/>
      <c r="BC104" s="808"/>
      <c r="BD104" s="808"/>
      <c r="BE104" s="808"/>
      <c r="BF104" s="808"/>
      <c r="BG104" s="808"/>
      <c r="BH104" s="808"/>
      <c r="BI104" s="808"/>
      <c r="BJ104" s="808"/>
      <c r="BK104" s="808"/>
      <c r="BL104" s="808"/>
      <c r="BM104" s="808"/>
      <c r="BN104" s="808"/>
      <c r="BO104" s="808"/>
      <c r="BP104" s="808"/>
      <c r="BQ104" s="808"/>
      <c r="BR104" s="808"/>
      <c r="BS104" s="808"/>
      <c r="BT104" s="808"/>
      <c r="BU104" s="808"/>
      <c r="BV104" s="808"/>
      <c r="BW104" s="808"/>
      <c r="BX104" s="808"/>
      <c r="BY104" s="808"/>
      <c r="BZ104" s="808"/>
      <c r="CA104" s="808"/>
      <c r="CB104" s="808"/>
      <c r="CC104" s="808"/>
      <c r="CD104" s="808"/>
      <c r="CE104" s="808"/>
      <c r="CF104" s="808"/>
      <c r="CG104" s="808"/>
      <c r="CH104" s="808"/>
      <c r="CI104" s="808"/>
      <c r="CJ104" s="808"/>
      <c r="CK104" s="808"/>
      <c r="CL104" s="808"/>
      <c r="CM104" s="808"/>
      <c r="CN104" s="808"/>
      <c r="CO104" s="808"/>
      <c r="CP104" s="808"/>
      <c r="CQ104" s="808"/>
      <c r="CR104" s="808"/>
      <c r="CS104" s="808"/>
      <c r="CT104" s="808"/>
      <c r="CU104" s="808"/>
      <c r="CV104" s="808"/>
      <c r="CW104" s="808"/>
      <c r="CX104" s="808"/>
      <c r="CY104" s="808"/>
      <c r="CZ104" s="808"/>
      <c r="DA104" s="808"/>
      <c r="DB104" s="808"/>
      <c r="DC104" s="808"/>
      <c r="DD104" s="808"/>
      <c r="DE104" s="808"/>
      <c r="DF104" s="808"/>
      <c r="DG104" s="808"/>
      <c r="DH104" s="808"/>
      <c r="DI104" s="808"/>
      <c r="DJ104" s="808"/>
      <c r="DK104" s="808"/>
      <c r="DL104" s="808"/>
      <c r="DM104" s="808"/>
      <c r="DN104" s="808"/>
      <c r="DO104" s="808"/>
      <c r="DP104" s="808"/>
    </row>
    <row r="105" spans="1:120">
      <c r="A105" s="821"/>
      <c r="B105" s="813" t="s">
        <v>947</v>
      </c>
      <c r="C105" s="814" t="s">
        <v>1401</v>
      </c>
      <c r="D105" s="815">
        <v>2018</v>
      </c>
      <c r="E105" s="815" t="s">
        <v>1259</v>
      </c>
      <c r="F105" s="815">
        <v>1191308</v>
      </c>
      <c r="G105" s="815">
        <v>43646</v>
      </c>
      <c r="H105" s="214">
        <v>12000000</v>
      </c>
      <c r="K105" s="808"/>
      <c r="M105" s="808"/>
      <c r="N105" s="808"/>
      <c r="O105" s="808"/>
      <c r="P105" s="808"/>
      <c r="Q105" s="808"/>
      <c r="R105" s="808"/>
      <c r="S105" s="808"/>
      <c r="T105" s="808"/>
      <c r="U105" s="808"/>
      <c r="V105" s="808"/>
      <c r="W105" s="808"/>
      <c r="X105" s="808"/>
      <c r="Y105" s="808"/>
      <c r="Z105" s="808"/>
      <c r="AA105" s="808"/>
      <c r="AB105" s="808"/>
      <c r="AC105" s="808"/>
      <c r="AD105" s="808"/>
      <c r="AE105" s="808"/>
      <c r="AF105" s="808"/>
      <c r="AG105" s="808"/>
      <c r="AH105" s="808"/>
      <c r="AI105" s="808"/>
      <c r="AJ105" s="808"/>
      <c r="AK105" s="808"/>
      <c r="AL105" s="808"/>
      <c r="AM105" s="808"/>
      <c r="AN105" s="808"/>
      <c r="AO105" s="808"/>
      <c r="AP105" s="808"/>
      <c r="AQ105" s="808"/>
      <c r="AR105" s="808"/>
      <c r="AS105" s="808"/>
      <c r="AT105" s="808"/>
      <c r="AU105" s="808"/>
      <c r="AV105" s="808"/>
      <c r="AW105" s="808"/>
      <c r="AX105" s="808"/>
      <c r="AY105" s="808"/>
      <c r="AZ105" s="808"/>
      <c r="BA105" s="808"/>
      <c r="BB105" s="808"/>
      <c r="BC105" s="808"/>
      <c r="BD105" s="808"/>
      <c r="BE105" s="808"/>
      <c r="BF105" s="808"/>
      <c r="BG105" s="808"/>
      <c r="BH105" s="808"/>
      <c r="BI105" s="808"/>
      <c r="BJ105" s="808"/>
      <c r="BK105" s="808"/>
      <c r="BL105" s="808"/>
      <c r="BM105" s="808"/>
      <c r="BN105" s="808"/>
      <c r="BO105" s="808"/>
      <c r="BP105" s="808"/>
      <c r="BQ105" s="808"/>
      <c r="BR105" s="808"/>
      <c r="BS105" s="808"/>
      <c r="BT105" s="808"/>
      <c r="BU105" s="808"/>
      <c r="BV105" s="808"/>
      <c r="BW105" s="808"/>
      <c r="BX105" s="808"/>
      <c r="BY105" s="808"/>
      <c r="BZ105" s="808"/>
      <c r="CA105" s="808"/>
      <c r="CB105" s="808"/>
      <c r="CC105" s="808"/>
      <c r="CD105" s="808"/>
      <c r="CE105" s="808"/>
      <c r="CF105" s="808"/>
      <c r="CG105" s="808"/>
      <c r="CH105" s="808"/>
      <c r="CI105" s="808"/>
      <c r="CJ105" s="808"/>
      <c r="CK105" s="808"/>
      <c r="CL105" s="808"/>
      <c r="CM105" s="808"/>
      <c r="CN105" s="808"/>
      <c r="CO105" s="808"/>
      <c r="CP105" s="808"/>
      <c r="CQ105" s="808"/>
      <c r="CR105" s="808"/>
      <c r="CS105" s="808"/>
      <c r="CT105" s="808"/>
      <c r="CU105" s="808"/>
      <c r="CV105" s="808"/>
      <c r="CW105" s="808"/>
      <c r="CX105" s="808"/>
      <c r="CY105" s="808"/>
      <c r="CZ105" s="808"/>
      <c r="DA105" s="808"/>
      <c r="DB105" s="808"/>
      <c r="DC105" s="808"/>
      <c r="DD105" s="808"/>
      <c r="DE105" s="808"/>
      <c r="DF105" s="808"/>
      <c r="DG105" s="808"/>
      <c r="DH105" s="808"/>
      <c r="DI105" s="808"/>
      <c r="DJ105" s="808"/>
      <c r="DK105" s="808"/>
      <c r="DL105" s="808"/>
      <c r="DM105" s="808"/>
      <c r="DN105" s="808"/>
      <c r="DO105" s="808"/>
      <c r="DP105" s="808"/>
    </row>
    <row r="106" spans="1:120">
      <c r="A106" s="821"/>
      <c r="B106" s="813" t="s">
        <v>950</v>
      </c>
      <c r="C106" s="816" t="s">
        <v>82</v>
      </c>
      <c r="D106" s="815" t="s">
        <v>1201</v>
      </c>
      <c r="E106" s="815" t="s">
        <v>1260</v>
      </c>
      <c r="F106" s="815">
        <f>+F105</f>
        <v>1191308</v>
      </c>
      <c r="G106" s="815" t="s">
        <v>1201</v>
      </c>
      <c r="H106" s="214">
        <f>+F105/H105</f>
        <v>9.9275666666666665E-2</v>
      </c>
      <c r="K106" s="808"/>
      <c r="M106" s="808"/>
      <c r="N106" s="808"/>
      <c r="O106" s="808"/>
      <c r="P106" s="808"/>
      <c r="Q106" s="808"/>
      <c r="R106" s="808"/>
      <c r="S106" s="808"/>
      <c r="T106" s="808"/>
      <c r="U106" s="808"/>
      <c r="V106" s="808"/>
      <c r="W106" s="808"/>
      <c r="X106" s="808"/>
      <c r="Y106" s="808"/>
      <c r="Z106" s="808"/>
      <c r="AA106" s="808"/>
      <c r="AB106" s="808"/>
      <c r="AC106" s="808"/>
      <c r="AD106" s="808"/>
      <c r="AE106" s="808"/>
      <c r="AF106" s="808"/>
      <c r="AG106" s="808"/>
      <c r="AH106" s="808"/>
      <c r="AI106" s="808"/>
      <c r="AJ106" s="808"/>
      <c r="AK106" s="808"/>
      <c r="AL106" s="808"/>
      <c r="AM106" s="808"/>
      <c r="AN106" s="808"/>
      <c r="AO106" s="808"/>
      <c r="AP106" s="808"/>
      <c r="AQ106" s="808"/>
      <c r="AR106" s="808"/>
      <c r="AS106" s="808"/>
      <c r="AT106" s="808"/>
      <c r="AU106" s="808"/>
      <c r="AV106" s="808"/>
      <c r="AW106" s="808"/>
      <c r="AX106" s="808"/>
      <c r="AY106" s="808"/>
      <c r="AZ106" s="808"/>
      <c r="BA106" s="808"/>
      <c r="BB106" s="808"/>
      <c r="BC106" s="808"/>
      <c r="BD106" s="808"/>
      <c r="BE106" s="808"/>
      <c r="BF106" s="808"/>
      <c r="BG106" s="808"/>
      <c r="BH106" s="808"/>
      <c r="BI106" s="808"/>
      <c r="BJ106" s="808"/>
      <c r="BK106" s="808"/>
      <c r="BL106" s="808"/>
      <c r="BM106" s="808"/>
      <c r="BN106" s="808"/>
      <c r="BO106" s="808"/>
      <c r="BP106" s="808"/>
      <c r="BQ106" s="808"/>
      <c r="BR106" s="808"/>
      <c r="BS106" s="808"/>
      <c r="BT106" s="808"/>
      <c r="BU106" s="808"/>
      <c r="BV106" s="808"/>
      <c r="BW106" s="808"/>
      <c r="BX106" s="808"/>
      <c r="BY106" s="808"/>
      <c r="BZ106" s="808"/>
      <c r="CA106" s="808"/>
      <c r="CB106" s="808"/>
      <c r="CC106" s="808"/>
      <c r="CD106" s="808"/>
      <c r="CE106" s="808"/>
      <c r="CF106" s="808"/>
      <c r="CG106" s="808"/>
      <c r="CH106" s="808"/>
      <c r="CI106" s="808"/>
      <c r="CJ106" s="808"/>
      <c r="CK106" s="808"/>
      <c r="CL106" s="808"/>
      <c r="CM106" s="808"/>
      <c r="CN106" s="808"/>
      <c r="CO106" s="808"/>
      <c r="CP106" s="808"/>
      <c r="CQ106" s="808"/>
      <c r="CR106" s="808"/>
      <c r="CS106" s="808"/>
      <c r="CT106" s="808"/>
      <c r="CU106" s="808"/>
      <c r="CV106" s="808"/>
      <c r="CW106" s="808"/>
      <c r="CX106" s="808"/>
      <c r="CY106" s="808"/>
      <c r="CZ106" s="808"/>
      <c r="DA106" s="808"/>
      <c r="DB106" s="808"/>
      <c r="DC106" s="808"/>
      <c r="DD106" s="808"/>
      <c r="DE106" s="808"/>
      <c r="DF106" s="808"/>
      <c r="DG106" s="808"/>
      <c r="DH106" s="808"/>
      <c r="DI106" s="808"/>
      <c r="DJ106" s="808"/>
      <c r="DK106" s="808"/>
      <c r="DL106" s="808"/>
      <c r="DM106" s="808"/>
      <c r="DN106" s="808"/>
      <c r="DO106" s="808"/>
      <c r="DP106" s="808"/>
    </row>
    <row r="107" spans="1:120">
      <c r="A107" s="821"/>
      <c r="B107" s="809" t="s">
        <v>1204</v>
      </c>
      <c r="C107" s="808"/>
      <c r="F107" s="214">
        <f>+F106-balance!D27/1000</f>
        <v>1172939.5646299999</v>
      </c>
      <c r="K107" s="808"/>
      <c r="M107" s="808"/>
      <c r="N107" s="808"/>
      <c r="O107" s="808"/>
      <c r="P107" s="808"/>
      <c r="Q107" s="808"/>
      <c r="R107" s="808"/>
      <c r="S107" s="808"/>
      <c r="T107" s="808"/>
      <c r="U107" s="808"/>
      <c r="V107" s="808"/>
      <c r="W107" s="808"/>
      <c r="X107" s="808"/>
      <c r="Y107" s="808"/>
      <c r="Z107" s="808"/>
      <c r="AA107" s="808"/>
      <c r="AB107" s="808"/>
      <c r="AC107" s="808"/>
      <c r="AD107" s="808"/>
      <c r="AE107" s="808"/>
      <c r="AF107" s="808"/>
      <c r="AG107" s="808"/>
      <c r="AH107" s="808"/>
      <c r="AI107" s="808"/>
      <c r="AJ107" s="808"/>
      <c r="AK107" s="808"/>
      <c r="AL107" s="808"/>
      <c r="AM107" s="808"/>
      <c r="AN107" s="808"/>
      <c r="AO107" s="808"/>
      <c r="AP107" s="808"/>
      <c r="AQ107" s="808"/>
      <c r="AR107" s="808"/>
      <c r="AS107" s="808"/>
      <c r="AT107" s="808"/>
      <c r="AU107" s="808"/>
      <c r="AV107" s="808"/>
      <c r="AW107" s="808"/>
      <c r="AX107" s="808"/>
      <c r="AY107" s="808"/>
      <c r="AZ107" s="808"/>
      <c r="BA107" s="808"/>
      <c r="BB107" s="808"/>
      <c r="BC107" s="808"/>
      <c r="BD107" s="808"/>
      <c r="BE107" s="808"/>
      <c r="BF107" s="808"/>
      <c r="BG107" s="808"/>
      <c r="BH107" s="808"/>
      <c r="BI107" s="808"/>
      <c r="BJ107" s="808"/>
      <c r="BK107" s="808"/>
      <c r="BL107" s="808"/>
      <c r="BM107" s="808"/>
      <c r="BN107" s="808"/>
      <c r="BO107" s="808"/>
      <c r="BP107" s="808"/>
      <c r="BQ107" s="808"/>
      <c r="BR107" s="808"/>
      <c r="BS107" s="808"/>
      <c r="BT107" s="808"/>
      <c r="BU107" s="808"/>
      <c r="BV107" s="808"/>
      <c r="BW107" s="808"/>
      <c r="BX107" s="808"/>
      <c r="BY107" s="808"/>
      <c r="BZ107" s="808"/>
      <c r="CA107" s="808"/>
      <c r="CB107" s="808"/>
      <c r="CC107" s="808"/>
      <c r="CD107" s="808"/>
      <c r="CE107" s="808"/>
      <c r="CF107" s="808"/>
      <c r="CG107" s="808"/>
      <c r="CH107" s="808"/>
      <c r="CI107" s="808"/>
      <c r="CJ107" s="808"/>
      <c r="CK107" s="808"/>
      <c r="CL107" s="808"/>
      <c r="CM107" s="808"/>
      <c r="CN107" s="808"/>
      <c r="CO107" s="808"/>
      <c r="CP107" s="808"/>
      <c r="CQ107" s="808"/>
      <c r="CR107" s="808"/>
      <c r="CS107" s="808"/>
      <c r="CT107" s="808"/>
      <c r="CU107" s="808"/>
      <c r="CV107" s="808"/>
      <c r="CW107" s="808"/>
      <c r="CX107" s="808"/>
      <c r="CY107" s="808"/>
      <c r="CZ107" s="808"/>
      <c r="DA107" s="808"/>
      <c r="DB107" s="808"/>
      <c r="DC107" s="808"/>
      <c r="DD107" s="808"/>
      <c r="DE107" s="808"/>
      <c r="DF107" s="808"/>
      <c r="DG107" s="808"/>
      <c r="DH107" s="808"/>
      <c r="DI107" s="808"/>
      <c r="DJ107" s="808"/>
      <c r="DK107" s="808"/>
      <c r="DL107" s="808"/>
      <c r="DM107" s="808"/>
      <c r="DN107" s="808"/>
      <c r="DO107" s="808"/>
      <c r="DP107" s="808"/>
    </row>
    <row r="108" spans="1:120">
      <c r="A108" s="821"/>
      <c r="B108" s="817" t="s">
        <v>1201</v>
      </c>
      <c r="C108" s="808"/>
      <c r="K108" s="808"/>
      <c r="M108" s="808"/>
      <c r="N108" s="808"/>
      <c r="O108" s="808"/>
      <c r="P108" s="808"/>
      <c r="Q108" s="808"/>
      <c r="R108" s="808"/>
      <c r="S108" s="808"/>
      <c r="T108" s="808"/>
      <c r="U108" s="808"/>
      <c r="V108" s="808"/>
      <c r="W108" s="808"/>
      <c r="X108" s="808"/>
      <c r="Y108" s="808"/>
      <c r="Z108" s="808"/>
      <c r="AA108" s="808"/>
      <c r="AB108" s="808"/>
      <c r="AC108" s="808"/>
      <c r="AD108" s="808"/>
      <c r="AE108" s="808"/>
      <c r="AF108" s="808"/>
      <c r="AG108" s="808"/>
      <c r="AH108" s="808"/>
      <c r="AI108" s="808"/>
      <c r="AJ108" s="808"/>
      <c r="AK108" s="808"/>
      <c r="AL108" s="808"/>
      <c r="AM108" s="808"/>
      <c r="AN108" s="808"/>
      <c r="AO108" s="808"/>
      <c r="AP108" s="808"/>
      <c r="AQ108" s="808"/>
      <c r="AR108" s="808"/>
      <c r="AS108" s="808"/>
      <c r="AT108" s="808"/>
      <c r="AU108" s="808"/>
      <c r="AV108" s="808"/>
      <c r="AW108" s="808"/>
      <c r="AX108" s="808"/>
      <c r="AY108" s="808"/>
      <c r="AZ108" s="808"/>
      <c r="BA108" s="808"/>
      <c r="BB108" s="808"/>
      <c r="BC108" s="808"/>
      <c r="BD108" s="808"/>
      <c r="BE108" s="808"/>
      <c r="BF108" s="808"/>
      <c r="BG108" s="808"/>
      <c r="BH108" s="808"/>
      <c r="BI108" s="808"/>
      <c r="BJ108" s="808"/>
      <c r="BK108" s="808"/>
      <c r="BL108" s="808"/>
      <c r="BM108" s="808"/>
      <c r="BN108" s="808"/>
      <c r="BO108" s="808"/>
      <c r="BP108" s="808"/>
      <c r="BQ108" s="808"/>
      <c r="BR108" s="808"/>
      <c r="BS108" s="808"/>
      <c r="BT108" s="808"/>
      <c r="BU108" s="808"/>
      <c r="BV108" s="808"/>
      <c r="BW108" s="808"/>
      <c r="BX108" s="808"/>
      <c r="BY108" s="808"/>
      <c r="BZ108" s="808"/>
      <c r="CA108" s="808"/>
      <c r="CB108" s="808"/>
      <c r="CC108" s="808"/>
      <c r="CD108" s="808"/>
      <c r="CE108" s="808"/>
      <c r="CF108" s="808"/>
      <c r="CG108" s="808"/>
      <c r="CH108" s="808"/>
      <c r="CI108" s="808"/>
      <c r="CJ108" s="808"/>
      <c r="CK108" s="808"/>
      <c r="CL108" s="808"/>
      <c r="CM108" s="808"/>
      <c r="CN108" s="808"/>
      <c r="CO108" s="808"/>
      <c r="CP108" s="808"/>
      <c r="CQ108" s="808"/>
      <c r="CR108" s="808"/>
      <c r="CS108" s="808"/>
      <c r="CT108" s="808"/>
      <c r="CU108" s="808"/>
      <c r="CV108" s="808"/>
      <c r="CW108" s="808"/>
      <c r="CX108" s="808"/>
      <c r="CY108" s="808"/>
      <c r="CZ108" s="808"/>
      <c r="DA108" s="808"/>
      <c r="DB108" s="808"/>
      <c r="DC108" s="808"/>
      <c r="DD108" s="808"/>
      <c r="DE108" s="808"/>
      <c r="DF108" s="808"/>
      <c r="DG108" s="808"/>
      <c r="DH108" s="808"/>
      <c r="DI108" s="808"/>
      <c r="DJ108" s="808"/>
      <c r="DK108" s="808"/>
      <c r="DL108" s="808"/>
      <c r="DM108" s="808"/>
      <c r="DN108" s="808"/>
      <c r="DO108" s="808"/>
      <c r="DP108" s="808"/>
    </row>
    <row r="109" spans="1:120">
      <c r="A109" s="821"/>
      <c r="B109" s="809" t="s">
        <v>1261</v>
      </c>
      <c r="C109" s="808"/>
      <c r="K109" s="808"/>
      <c r="M109" s="808"/>
      <c r="N109" s="808"/>
      <c r="O109" s="808"/>
      <c r="P109" s="808"/>
      <c r="Q109" s="808"/>
      <c r="R109" s="808"/>
      <c r="S109" s="808"/>
      <c r="T109" s="808"/>
      <c r="U109" s="808"/>
      <c r="V109" s="808"/>
      <c r="W109" s="808"/>
      <c r="X109" s="808"/>
      <c r="Y109" s="808"/>
      <c r="Z109" s="808"/>
      <c r="AA109" s="808"/>
      <c r="AB109" s="808"/>
      <c r="AC109" s="808"/>
      <c r="AD109" s="808"/>
      <c r="AE109" s="808"/>
      <c r="AF109" s="808"/>
      <c r="AG109" s="808"/>
      <c r="AH109" s="808"/>
      <c r="AI109" s="808"/>
      <c r="AJ109" s="808"/>
      <c r="AK109" s="808"/>
      <c r="AL109" s="808"/>
      <c r="AM109" s="808"/>
      <c r="AN109" s="808"/>
      <c r="AO109" s="808"/>
      <c r="AP109" s="808"/>
      <c r="AQ109" s="808"/>
      <c r="AR109" s="808"/>
      <c r="AS109" s="808"/>
      <c r="AT109" s="808"/>
      <c r="AU109" s="808"/>
      <c r="AV109" s="808"/>
      <c r="AW109" s="808"/>
      <c r="AX109" s="808"/>
      <c r="AY109" s="808"/>
      <c r="AZ109" s="808"/>
      <c r="BA109" s="808"/>
      <c r="BB109" s="808"/>
      <c r="BC109" s="808"/>
      <c r="BD109" s="808"/>
      <c r="BE109" s="808"/>
      <c r="BF109" s="808"/>
      <c r="BG109" s="808"/>
      <c r="BH109" s="808"/>
      <c r="BI109" s="808"/>
      <c r="BJ109" s="808"/>
      <c r="BK109" s="808"/>
      <c r="BL109" s="808"/>
      <c r="BM109" s="808"/>
      <c r="BN109" s="808"/>
      <c r="BO109" s="808"/>
      <c r="BP109" s="808"/>
      <c r="BQ109" s="808"/>
      <c r="BR109" s="808"/>
      <c r="BS109" s="808"/>
      <c r="BT109" s="808"/>
      <c r="BU109" s="808"/>
      <c r="BV109" s="808"/>
      <c r="BW109" s="808"/>
      <c r="BX109" s="808"/>
      <c r="BY109" s="808"/>
      <c r="BZ109" s="808"/>
      <c r="CA109" s="808"/>
      <c r="CB109" s="808"/>
      <c r="CC109" s="808"/>
      <c r="CD109" s="808"/>
      <c r="CE109" s="808"/>
      <c r="CF109" s="808"/>
      <c r="CG109" s="808"/>
      <c r="CH109" s="808"/>
      <c r="CI109" s="808"/>
      <c r="CJ109" s="808"/>
      <c r="CK109" s="808"/>
      <c r="CL109" s="808"/>
      <c r="CM109" s="808"/>
      <c r="CN109" s="808"/>
      <c r="CO109" s="808"/>
      <c r="CP109" s="808"/>
      <c r="CQ109" s="808"/>
      <c r="CR109" s="808"/>
      <c r="CS109" s="808"/>
      <c r="CT109" s="808"/>
      <c r="CU109" s="808"/>
      <c r="CV109" s="808"/>
      <c r="CW109" s="808"/>
      <c r="CX109" s="808"/>
      <c r="CY109" s="808"/>
      <c r="CZ109" s="808"/>
      <c r="DA109" s="808"/>
      <c r="DB109" s="808"/>
      <c r="DC109" s="808"/>
      <c r="DD109" s="808"/>
      <c r="DE109" s="808"/>
      <c r="DF109" s="808"/>
      <c r="DG109" s="808"/>
      <c r="DH109" s="808"/>
      <c r="DI109" s="808"/>
      <c r="DJ109" s="808"/>
      <c r="DK109" s="808"/>
      <c r="DL109" s="808"/>
      <c r="DM109" s="808"/>
      <c r="DN109" s="808"/>
      <c r="DO109" s="808"/>
      <c r="DP109" s="808"/>
    </row>
    <row r="110" spans="1:120">
      <c r="A110" s="821"/>
      <c r="B110" s="807"/>
      <c r="C110" s="808"/>
      <c r="K110" s="818" t="s">
        <v>1203</v>
      </c>
      <c r="M110" s="808"/>
      <c r="N110" s="808"/>
      <c r="O110" s="808"/>
      <c r="P110" s="808"/>
      <c r="Q110" s="808"/>
      <c r="R110" s="808"/>
      <c r="S110" s="808"/>
      <c r="T110" s="808"/>
      <c r="U110" s="808"/>
      <c r="V110" s="808"/>
      <c r="W110" s="808"/>
      <c r="X110" s="808"/>
      <c r="Y110" s="808"/>
      <c r="Z110" s="808"/>
      <c r="AA110" s="808"/>
      <c r="AB110" s="808"/>
      <c r="AC110" s="808"/>
      <c r="AD110" s="808"/>
      <c r="AE110" s="808"/>
      <c r="AF110" s="808"/>
      <c r="AG110" s="808"/>
      <c r="AH110" s="808"/>
      <c r="AI110" s="808"/>
      <c r="AJ110" s="808"/>
      <c r="AK110" s="808"/>
      <c r="AL110" s="808"/>
      <c r="AM110" s="808"/>
      <c r="AN110" s="808"/>
      <c r="AO110" s="808"/>
      <c r="AP110" s="808"/>
      <c r="AQ110" s="808"/>
      <c r="AR110" s="808"/>
      <c r="AS110" s="808"/>
      <c r="AT110" s="808"/>
      <c r="AU110" s="808"/>
      <c r="AV110" s="808"/>
      <c r="AW110" s="808"/>
      <c r="AX110" s="808"/>
      <c r="AY110" s="808"/>
      <c r="AZ110" s="808"/>
      <c r="BA110" s="808"/>
      <c r="BB110" s="808"/>
      <c r="BC110" s="808"/>
      <c r="BD110" s="808"/>
      <c r="BE110" s="808"/>
      <c r="BF110" s="808"/>
      <c r="BG110" s="808"/>
      <c r="BH110" s="808"/>
      <c r="BI110" s="808"/>
      <c r="BJ110" s="808"/>
      <c r="BK110" s="808"/>
      <c r="BL110" s="808"/>
      <c r="BM110" s="808"/>
      <c r="BN110" s="808"/>
      <c r="BO110" s="808"/>
      <c r="BP110" s="808"/>
      <c r="BQ110" s="808"/>
      <c r="BR110" s="808"/>
      <c r="BS110" s="808"/>
      <c r="BT110" s="808"/>
      <c r="BU110" s="808"/>
      <c r="BV110" s="808"/>
      <c r="BW110" s="808"/>
      <c r="BX110" s="808"/>
      <c r="BY110" s="808"/>
      <c r="BZ110" s="808"/>
      <c r="CA110" s="808"/>
      <c r="CB110" s="808"/>
      <c r="CC110" s="808"/>
      <c r="CD110" s="808"/>
      <c r="CE110" s="808"/>
      <c r="CF110" s="808"/>
      <c r="CG110" s="808"/>
      <c r="CH110" s="808"/>
      <c r="CI110" s="808"/>
      <c r="CJ110" s="808"/>
      <c r="CK110" s="808"/>
      <c r="CL110" s="808"/>
      <c r="CM110" s="808"/>
      <c r="CN110" s="808"/>
      <c r="CO110" s="808"/>
      <c r="CP110" s="808"/>
      <c r="CQ110" s="808"/>
      <c r="CR110" s="808"/>
      <c r="CS110" s="808"/>
      <c r="CT110" s="808"/>
      <c r="CU110" s="808"/>
      <c r="CV110" s="808"/>
      <c r="CW110" s="808"/>
      <c r="CX110" s="808"/>
      <c r="CY110" s="808"/>
      <c r="CZ110" s="808"/>
      <c r="DA110" s="808"/>
      <c r="DB110" s="808"/>
      <c r="DC110" s="808"/>
      <c r="DD110" s="808"/>
      <c r="DE110" s="808"/>
      <c r="DF110" s="808"/>
      <c r="DG110" s="808"/>
      <c r="DH110" s="808"/>
      <c r="DI110" s="808"/>
      <c r="DJ110" s="808"/>
      <c r="DK110" s="808"/>
      <c r="DL110" s="808"/>
      <c r="DM110" s="808"/>
      <c r="DN110" s="808"/>
      <c r="DO110" s="808"/>
      <c r="DP110" s="808"/>
    </row>
    <row r="111" spans="1:120" ht="26.4">
      <c r="A111" s="821"/>
      <c r="B111" s="811" t="s">
        <v>79</v>
      </c>
      <c r="C111" s="811" t="s">
        <v>5</v>
      </c>
      <c r="D111" s="812" t="s">
        <v>274</v>
      </c>
      <c r="E111" s="812" t="s">
        <v>1262</v>
      </c>
      <c r="F111" s="812" t="s">
        <v>276</v>
      </c>
      <c r="G111" s="812" t="s">
        <v>277</v>
      </c>
      <c r="H111" s="812" t="s">
        <v>278</v>
      </c>
      <c r="I111" s="812" t="s">
        <v>279</v>
      </c>
      <c r="J111" s="812" t="s">
        <v>280</v>
      </c>
      <c r="K111" s="811" t="s">
        <v>82</v>
      </c>
      <c r="M111" s="808"/>
      <c r="N111" s="808"/>
      <c r="O111" s="808"/>
      <c r="P111" s="808"/>
      <c r="Q111" s="808"/>
      <c r="R111" s="808"/>
      <c r="S111" s="808"/>
      <c r="T111" s="808"/>
      <c r="U111" s="808"/>
      <c r="V111" s="808"/>
      <c r="W111" s="808"/>
      <c r="X111" s="808"/>
      <c r="Y111" s="808"/>
      <c r="Z111" s="808"/>
      <c r="AA111" s="808"/>
      <c r="AB111" s="808"/>
      <c r="AC111" s="808"/>
      <c r="AD111" s="808"/>
      <c r="AE111" s="808"/>
      <c r="AF111" s="808"/>
      <c r="AG111" s="808"/>
      <c r="AH111" s="808"/>
      <c r="AI111" s="808"/>
      <c r="AJ111" s="808"/>
      <c r="AK111" s="808"/>
      <c r="AL111" s="808"/>
      <c r="AM111" s="808"/>
      <c r="AN111" s="808"/>
      <c r="AO111" s="808"/>
      <c r="AP111" s="808"/>
      <c r="AQ111" s="808"/>
      <c r="AR111" s="808"/>
      <c r="AS111" s="808"/>
      <c r="AT111" s="808"/>
      <c r="AU111" s="808"/>
      <c r="AV111" s="808"/>
      <c r="AW111" s="808"/>
      <c r="AX111" s="808"/>
      <c r="AY111" s="808"/>
      <c r="AZ111" s="808"/>
      <c r="BA111" s="808"/>
      <c r="BB111" s="808"/>
      <c r="BC111" s="808"/>
      <c r="BD111" s="808"/>
      <c r="BE111" s="808"/>
      <c r="BF111" s="808"/>
      <c r="BG111" s="808"/>
      <c r="BH111" s="808"/>
      <c r="BI111" s="808"/>
      <c r="BJ111" s="808"/>
      <c r="BK111" s="808"/>
      <c r="BL111" s="808"/>
      <c r="BM111" s="808"/>
      <c r="BN111" s="808"/>
      <c r="BO111" s="808"/>
      <c r="BP111" s="808"/>
      <c r="BQ111" s="808"/>
      <c r="BR111" s="808"/>
      <c r="BS111" s="808"/>
      <c r="BT111" s="808"/>
      <c r="BU111" s="808"/>
      <c r="BV111" s="808"/>
      <c r="BW111" s="808"/>
      <c r="BX111" s="808"/>
      <c r="BY111" s="808"/>
      <c r="BZ111" s="808"/>
      <c r="CA111" s="808"/>
      <c r="CB111" s="808"/>
      <c r="CC111" s="808"/>
      <c r="CD111" s="808"/>
      <c r="CE111" s="808"/>
      <c r="CF111" s="808"/>
      <c r="CG111" s="808"/>
      <c r="CH111" s="808"/>
      <c r="CI111" s="808"/>
      <c r="CJ111" s="808"/>
      <c r="CK111" s="808"/>
      <c r="CL111" s="808"/>
      <c r="CM111" s="808"/>
      <c r="CN111" s="808"/>
      <c r="CO111" s="808"/>
      <c r="CP111" s="808"/>
      <c r="CQ111" s="808"/>
      <c r="CR111" s="808"/>
      <c r="CS111" s="808"/>
      <c r="CT111" s="808"/>
      <c r="CU111" s="808"/>
      <c r="CV111" s="808"/>
      <c r="CW111" s="808"/>
      <c r="CX111" s="808"/>
      <c r="CY111" s="808"/>
      <c r="CZ111" s="808"/>
      <c r="DA111" s="808"/>
      <c r="DB111" s="808"/>
      <c r="DC111" s="808"/>
      <c r="DD111" s="808"/>
      <c r="DE111" s="808"/>
      <c r="DF111" s="808"/>
      <c r="DG111" s="808"/>
      <c r="DH111" s="808"/>
      <c r="DI111" s="808"/>
      <c r="DJ111" s="808"/>
      <c r="DK111" s="808"/>
      <c r="DL111" s="808"/>
      <c r="DM111" s="808"/>
      <c r="DN111" s="808"/>
      <c r="DO111" s="808"/>
      <c r="DP111" s="808"/>
    </row>
    <row r="112" spans="1:120">
      <c r="A112" s="821"/>
      <c r="B112" s="813" t="s">
        <v>947</v>
      </c>
      <c r="C112" s="816" t="s">
        <v>1263</v>
      </c>
      <c r="D112" s="815">
        <v>0</v>
      </c>
      <c r="E112" s="815">
        <v>0</v>
      </c>
      <c r="F112" s="815">
        <v>0</v>
      </c>
      <c r="G112" s="815">
        <v>0</v>
      </c>
      <c r="H112" s="815">
        <v>0</v>
      </c>
      <c r="I112" s="815">
        <v>0</v>
      </c>
      <c r="J112" s="815">
        <v>0</v>
      </c>
      <c r="K112" s="819">
        <v>0</v>
      </c>
      <c r="M112" s="808"/>
      <c r="N112" s="808"/>
      <c r="O112" s="808"/>
      <c r="P112" s="808"/>
      <c r="Q112" s="808"/>
      <c r="R112" s="808"/>
      <c r="S112" s="808"/>
      <c r="T112" s="808"/>
      <c r="U112" s="808"/>
      <c r="V112" s="808"/>
      <c r="W112" s="808"/>
      <c r="X112" s="808"/>
      <c r="Y112" s="808"/>
      <c r="Z112" s="808"/>
      <c r="AA112" s="808"/>
      <c r="AB112" s="808"/>
      <c r="AC112" s="808"/>
      <c r="AD112" s="808"/>
      <c r="AE112" s="808"/>
      <c r="AF112" s="808"/>
      <c r="AG112" s="808"/>
      <c r="AH112" s="808"/>
      <c r="AI112" s="808"/>
      <c r="AJ112" s="808"/>
      <c r="AK112" s="808"/>
      <c r="AL112" s="808"/>
      <c r="AM112" s="808"/>
      <c r="AN112" s="808"/>
      <c r="AO112" s="808"/>
      <c r="AP112" s="808"/>
      <c r="AQ112" s="808"/>
      <c r="AR112" s="808"/>
      <c r="AS112" s="808"/>
      <c r="AT112" s="808"/>
      <c r="AU112" s="808"/>
      <c r="AV112" s="808"/>
      <c r="AW112" s="808"/>
      <c r="AX112" s="808"/>
      <c r="AY112" s="808"/>
      <c r="AZ112" s="808"/>
      <c r="BA112" s="808"/>
      <c r="BB112" s="808"/>
      <c r="BC112" s="808"/>
      <c r="BD112" s="808"/>
      <c r="BE112" s="808"/>
      <c r="BF112" s="808"/>
      <c r="BG112" s="808"/>
      <c r="BH112" s="808"/>
      <c r="BI112" s="808"/>
      <c r="BJ112" s="808"/>
      <c r="BK112" s="808"/>
      <c r="BL112" s="808"/>
      <c r="BM112" s="808"/>
      <c r="BN112" s="808"/>
      <c r="BO112" s="808"/>
      <c r="BP112" s="808"/>
      <c r="BQ112" s="808"/>
      <c r="BR112" s="808"/>
      <c r="BS112" s="808"/>
      <c r="BT112" s="808"/>
      <c r="BU112" s="808"/>
      <c r="BV112" s="808"/>
      <c r="BW112" s="808"/>
      <c r="BX112" s="808"/>
      <c r="BY112" s="808"/>
      <c r="BZ112" s="808"/>
      <c r="CA112" s="808"/>
      <c r="CB112" s="808"/>
      <c r="CC112" s="808"/>
      <c r="CD112" s="808"/>
      <c r="CE112" s="808"/>
      <c r="CF112" s="808"/>
      <c r="CG112" s="808"/>
      <c r="CH112" s="808"/>
      <c r="CI112" s="808"/>
      <c r="CJ112" s="808"/>
      <c r="CK112" s="808"/>
      <c r="CL112" s="808"/>
      <c r="CM112" s="808"/>
      <c r="CN112" s="808"/>
      <c r="CO112" s="808"/>
      <c r="CP112" s="808"/>
      <c r="CQ112" s="808"/>
      <c r="CR112" s="808"/>
      <c r="CS112" s="808"/>
      <c r="CT112" s="808"/>
      <c r="CU112" s="808"/>
      <c r="CV112" s="808"/>
      <c r="CW112" s="808"/>
      <c r="CX112" s="808"/>
      <c r="CY112" s="808"/>
      <c r="CZ112" s="808"/>
      <c r="DA112" s="808"/>
      <c r="DB112" s="808"/>
      <c r="DC112" s="808"/>
      <c r="DD112" s="808"/>
      <c r="DE112" s="808"/>
      <c r="DF112" s="808"/>
      <c r="DG112" s="808"/>
      <c r="DH112" s="808"/>
      <c r="DI112" s="808"/>
      <c r="DJ112" s="808"/>
      <c r="DK112" s="808"/>
      <c r="DL112" s="808"/>
      <c r="DM112" s="808"/>
      <c r="DN112" s="808"/>
      <c r="DO112" s="808"/>
      <c r="DP112" s="808"/>
    </row>
    <row r="113" spans="1:120">
      <c r="A113" s="821"/>
      <c r="B113" s="813" t="s">
        <v>150</v>
      </c>
      <c r="C113" s="814" t="s">
        <v>194</v>
      </c>
      <c r="D113" s="815">
        <v>0</v>
      </c>
      <c r="E113" s="815">
        <v>313168.5</v>
      </c>
      <c r="F113" s="815">
        <v>0</v>
      </c>
      <c r="G113" s="815">
        <v>141869</v>
      </c>
      <c r="H113" s="815">
        <v>0</v>
      </c>
      <c r="I113" s="815">
        <v>0</v>
      </c>
      <c r="J113" s="815">
        <v>0</v>
      </c>
      <c r="K113" s="819">
        <f>SUM(E113:J113)</f>
        <v>455037.5</v>
      </c>
      <c r="M113" s="808"/>
      <c r="N113" s="808"/>
      <c r="O113" s="808"/>
      <c r="P113" s="808"/>
      <c r="Q113" s="808"/>
      <c r="R113" s="808"/>
      <c r="S113" s="808"/>
      <c r="T113" s="808"/>
      <c r="U113" s="808"/>
      <c r="V113" s="808"/>
      <c r="W113" s="808"/>
      <c r="X113" s="808"/>
      <c r="Y113" s="808"/>
      <c r="Z113" s="808"/>
      <c r="AA113" s="808"/>
      <c r="AB113" s="808"/>
      <c r="AC113" s="808"/>
      <c r="AD113" s="808"/>
      <c r="AE113" s="808"/>
      <c r="AF113" s="808"/>
      <c r="AG113" s="808"/>
      <c r="AH113" s="808"/>
      <c r="AI113" s="808"/>
      <c r="AJ113" s="808"/>
      <c r="AK113" s="808"/>
      <c r="AL113" s="808"/>
      <c r="AM113" s="808"/>
      <c r="AN113" s="808"/>
      <c r="AO113" s="808"/>
      <c r="AP113" s="808"/>
      <c r="AQ113" s="808"/>
      <c r="AR113" s="808"/>
      <c r="AS113" s="808"/>
      <c r="AT113" s="808"/>
      <c r="AU113" s="808"/>
      <c r="AV113" s="808"/>
      <c r="AW113" s="808"/>
      <c r="AX113" s="808"/>
      <c r="AY113" s="808"/>
      <c r="AZ113" s="808"/>
      <c r="BA113" s="808"/>
      <c r="BB113" s="808"/>
      <c r="BC113" s="808"/>
      <c r="BD113" s="808"/>
      <c r="BE113" s="808"/>
      <c r="BF113" s="808"/>
      <c r="BG113" s="808"/>
      <c r="BH113" s="808"/>
      <c r="BI113" s="808"/>
      <c r="BJ113" s="808"/>
      <c r="BK113" s="808"/>
      <c r="BL113" s="808"/>
      <c r="BM113" s="808"/>
      <c r="BN113" s="808"/>
      <c r="BO113" s="808"/>
      <c r="BP113" s="808"/>
      <c r="BQ113" s="808"/>
      <c r="BR113" s="808"/>
      <c r="BS113" s="808"/>
      <c r="BT113" s="808"/>
      <c r="BU113" s="808"/>
      <c r="BV113" s="808"/>
      <c r="BW113" s="808"/>
      <c r="BX113" s="808"/>
      <c r="BY113" s="808"/>
      <c r="BZ113" s="808"/>
      <c r="CA113" s="808"/>
      <c r="CB113" s="808"/>
      <c r="CC113" s="808"/>
      <c r="CD113" s="808"/>
      <c r="CE113" s="808"/>
      <c r="CF113" s="808"/>
      <c r="CG113" s="808"/>
      <c r="CH113" s="808"/>
      <c r="CI113" s="808"/>
      <c r="CJ113" s="808"/>
      <c r="CK113" s="808"/>
      <c r="CL113" s="808"/>
      <c r="CM113" s="808"/>
      <c r="CN113" s="808"/>
      <c r="CO113" s="808"/>
      <c r="CP113" s="808"/>
      <c r="CQ113" s="808"/>
      <c r="CR113" s="808"/>
      <c r="CS113" s="808"/>
      <c r="CT113" s="808"/>
      <c r="CU113" s="808"/>
      <c r="CV113" s="808"/>
      <c r="CW113" s="808"/>
      <c r="CX113" s="808"/>
      <c r="CY113" s="808"/>
      <c r="CZ113" s="808"/>
      <c r="DA113" s="808"/>
      <c r="DB113" s="808"/>
      <c r="DC113" s="808"/>
      <c r="DD113" s="808"/>
      <c r="DE113" s="808"/>
      <c r="DF113" s="808"/>
      <c r="DG113" s="808"/>
      <c r="DH113" s="808"/>
      <c r="DI113" s="808"/>
      <c r="DJ113" s="808"/>
      <c r="DK113" s="808"/>
      <c r="DL113" s="808"/>
      <c r="DM113" s="808"/>
      <c r="DN113" s="808"/>
      <c r="DO113" s="808"/>
      <c r="DP113" s="808"/>
    </row>
    <row r="114" spans="1:120">
      <c r="A114" s="821"/>
      <c r="B114" s="813" t="s">
        <v>948</v>
      </c>
      <c r="C114" s="814" t="s">
        <v>233</v>
      </c>
      <c r="D114" s="815">
        <v>0</v>
      </c>
      <c r="E114" s="815">
        <f>+E116</f>
        <v>80959.216780000002</v>
      </c>
      <c r="F114" s="815">
        <v>0</v>
      </c>
      <c r="G114" s="815">
        <f>+[8]asset!$L$3423/1000</f>
        <v>23989.136149999998</v>
      </c>
      <c r="H114" s="815">
        <v>0</v>
      </c>
      <c r="I114" s="815">
        <v>0</v>
      </c>
      <c r="J114" s="815">
        <v>0</v>
      </c>
      <c r="K114" s="819">
        <f t="shared" ref="K114:K136" si="24">SUM(E114:J114)</f>
        <v>104948.35292999999</v>
      </c>
      <c r="M114" s="808"/>
      <c r="N114" s="808"/>
      <c r="O114" s="808"/>
      <c r="P114" s="808"/>
      <c r="Q114" s="808"/>
      <c r="R114" s="808"/>
      <c r="S114" s="808"/>
      <c r="T114" s="808"/>
      <c r="U114" s="808"/>
      <c r="V114" s="808"/>
      <c r="W114" s="808"/>
      <c r="X114" s="808"/>
      <c r="Y114" s="808"/>
      <c r="Z114" s="808"/>
      <c r="AA114" s="808"/>
      <c r="AB114" s="808"/>
      <c r="AC114" s="808"/>
      <c r="AD114" s="808"/>
      <c r="AE114" s="808"/>
      <c r="AF114" s="808"/>
      <c r="AG114" s="808"/>
      <c r="AH114" s="808"/>
      <c r="AI114" s="808"/>
      <c r="AJ114" s="808"/>
      <c r="AK114" s="808"/>
      <c r="AL114" s="808"/>
      <c r="AM114" s="808"/>
      <c r="AN114" s="808"/>
      <c r="AO114" s="808"/>
      <c r="AP114" s="808"/>
      <c r="AQ114" s="808"/>
      <c r="AR114" s="808"/>
      <c r="AS114" s="808"/>
      <c r="AT114" s="808"/>
      <c r="AU114" s="808"/>
      <c r="AV114" s="808"/>
      <c r="AW114" s="808"/>
      <c r="AX114" s="808"/>
      <c r="AY114" s="808"/>
      <c r="AZ114" s="808"/>
      <c r="BA114" s="808"/>
      <c r="BB114" s="808"/>
      <c r="BC114" s="808"/>
      <c r="BD114" s="808"/>
      <c r="BE114" s="808"/>
      <c r="BF114" s="808"/>
      <c r="BG114" s="808"/>
      <c r="BH114" s="808"/>
      <c r="BI114" s="808"/>
      <c r="BJ114" s="808"/>
      <c r="BK114" s="808"/>
      <c r="BL114" s="808"/>
      <c r="BM114" s="808"/>
      <c r="BN114" s="808"/>
      <c r="BO114" s="808"/>
      <c r="BP114" s="808"/>
      <c r="BQ114" s="808"/>
      <c r="BR114" s="808"/>
      <c r="BS114" s="808"/>
      <c r="BT114" s="808"/>
      <c r="BU114" s="808"/>
      <c r="BV114" s="808"/>
      <c r="BW114" s="808"/>
      <c r="BX114" s="808"/>
      <c r="BY114" s="808"/>
      <c r="BZ114" s="808"/>
      <c r="CA114" s="808"/>
      <c r="CB114" s="808"/>
      <c r="CC114" s="808"/>
      <c r="CD114" s="808"/>
      <c r="CE114" s="808"/>
      <c r="CF114" s="808"/>
      <c r="CG114" s="808"/>
      <c r="CH114" s="808"/>
      <c r="CI114" s="808"/>
      <c r="CJ114" s="808"/>
      <c r="CK114" s="808"/>
      <c r="CL114" s="808"/>
      <c r="CM114" s="808"/>
      <c r="CN114" s="808"/>
      <c r="CO114" s="808"/>
      <c r="CP114" s="808"/>
      <c r="CQ114" s="808"/>
      <c r="CR114" s="808"/>
      <c r="CS114" s="808"/>
      <c r="CT114" s="808"/>
      <c r="CU114" s="808"/>
      <c r="CV114" s="808"/>
      <c r="CW114" s="808"/>
      <c r="CX114" s="808"/>
      <c r="CY114" s="808"/>
      <c r="CZ114" s="808"/>
      <c r="DA114" s="808"/>
      <c r="DB114" s="808"/>
      <c r="DC114" s="808"/>
      <c r="DD114" s="808"/>
      <c r="DE114" s="808"/>
      <c r="DF114" s="808"/>
      <c r="DG114" s="808"/>
      <c r="DH114" s="808"/>
      <c r="DI114" s="808"/>
      <c r="DJ114" s="808"/>
      <c r="DK114" s="808"/>
      <c r="DL114" s="808"/>
      <c r="DM114" s="808"/>
      <c r="DN114" s="808"/>
      <c r="DO114" s="808"/>
      <c r="DP114" s="808"/>
    </row>
    <row r="115" spans="1:120">
      <c r="A115" s="821"/>
      <c r="B115" s="813" t="s">
        <v>1231</v>
      </c>
      <c r="C115" s="814" t="s">
        <v>257</v>
      </c>
      <c r="D115" s="815">
        <v>0</v>
      </c>
      <c r="E115" s="815">
        <v>0</v>
      </c>
      <c r="F115" s="815">
        <v>0</v>
      </c>
      <c r="G115" s="815">
        <v>0</v>
      </c>
      <c r="H115" s="815">
        <v>0</v>
      </c>
      <c r="I115" s="815">
        <v>0</v>
      </c>
      <c r="J115" s="815">
        <v>0</v>
      </c>
      <c r="K115" s="819">
        <f t="shared" si="24"/>
        <v>0</v>
      </c>
      <c r="M115" s="808"/>
      <c r="N115" s="808"/>
      <c r="O115" s="808"/>
      <c r="P115" s="808"/>
      <c r="Q115" s="808"/>
      <c r="R115" s="808"/>
      <c r="S115" s="808"/>
      <c r="T115" s="808"/>
      <c r="U115" s="808"/>
      <c r="V115" s="808"/>
      <c r="W115" s="808"/>
      <c r="X115" s="808"/>
      <c r="Y115" s="808"/>
      <c r="Z115" s="808"/>
      <c r="AA115" s="808"/>
      <c r="AB115" s="808"/>
      <c r="AC115" s="808"/>
      <c r="AD115" s="808"/>
      <c r="AE115" s="808"/>
      <c r="AF115" s="808"/>
      <c r="AG115" s="808"/>
      <c r="AH115" s="808"/>
      <c r="AI115" s="808"/>
      <c r="AJ115" s="808"/>
      <c r="AK115" s="808"/>
      <c r="AL115" s="808"/>
      <c r="AM115" s="808"/>
      <c r="AN115" s="808"/>
      <c r="AO115" s="808"/>
      <c r="AP115" s="808"/>
      <c r="AQ115" s="808"/>
      <c r="AR115" s="808"/>
      <c r="AS115" s="808"/>
      <c r="AT115" s="808"/>
      <c r="AU115" s="808"/>
      <c r="AV115" s="808"/>
      <c r="AW115" s="808"/>
      <c r="AX115" s="808"/>
      <c r="AY115" s="808"/>
      <c r="AZ115" s="808"/>
      <c r="BA115" s="808"/>
      <c r="BB115" s="808"/>
      <c r="BC115" s="808"/>
      <c r="BD115" s="808"/>
      <c r="BE115" s="808"/>
      <c r="BF115" s="808"/>
      <c r="BG115" s="808"/>
      <c r="BH115" s="808"/>
      <c r="BI115" s="808"/>
      <c r="BJ115" s="808"/>
      <c r="BK115" s="808"/>
      <c r="BL115" s="808"/>
      <c r="BM115" s="808"/>
      <c r="BN115" s="808"/>
      <c r="BO115" s="808"/>
      <c r="BP115" s="808"/>
      <c r="BQ115" s="808"/>
      <c r="BR115" s="808"/>
      <c r="BS115" s="808"/>
      <c r="BT115" s="808"/>
      <c r="BU115" s="808"/>
      <c r="BV115" s="808"/>
      <c r="BW115" s="808"/>
      <c r="BX115" s="808"/>
      <c r="BY115" s="808"/>
      <c r="BZ115" s="808"/>
      <c r="CA115" s="808"/>
      <c r="CB115" s="808"/>
      <c r="CC115" s="808"/>
      <c r="CD115" s="808"/>
      <c r="CE115" s="808"/>
      <c r="CF115" s="808"/>
      <c r="CG115" s="808"/>
      <c r="CH115" s="808"/>
      <c r="CI115" s="808"/>
      <c r="CJ115" s="808"/>
      <c r="CK115" s="808"/>
      <c r="CL115" s="808"/>
      <c r="CM115" s="808"/>
      <c r="CN115" s="808"/>
      <c r="CO115" s="808"/>
      <c r="CP115" s="808"/>
      <c r="CQ115" s="808"/>
      <c r="CR115" s="808"/>
      <c r="CS115" s="808"/>
      <c r="CT115" s="808"/>
      <c r="CU115" s="808"/>
      <c r="CV115" s="808"/>
      <c r="CW115" s="808"/>
      <c r="CX115" s="808"/>
      <c r="CY115" s="808"/>
      <c r="CZ115" s="808"/>
      <c r="DA115" s="808"/>
      <c r="DB115" s="808"/>
      <c r="DC115" s="808"/>
      <c r="DD115" s="808"/>
      <c r="DE115" s="808"/>
      <c r="DF115" s="808"/>
      <c r="DG115" s="808"/>
      <c r="DH115" s="808"/>
      <c r="DI115" s="808"/>
      <c r="DJ115" s="808"/>
      <c r="DK115" s="808"/>
      <c r="DL115" s="808"/>
      <c r="DM115" s="808"/>
      <c r="DN115" s="808"/>
      <c r="DO115" s="808"/>
      <c r="DP115" s="808"/>
    </row>
    <row r="116" spans="1:120">
      <c r="A116" s="821"/>
      <c r="B116" s="813" t="s">
        <v>1232</v>
      </c>
      <c r="C116" s="814" t="s">
        <v>258</v>
      </c>
      <c r="D116" s="815">
        <v>0</v>
      </c>
      <c r="E116" s="815">
        <f>+[8]asset!$L$3405/1000+[8]asset!$M$3405/1000</f>
        <v>80959.216780000002</v>
      </c>
      <c r="F116" s="815">
        <v>0</v>
      </c>
      <c r="G116" s="815">
        <v>0</v>
      </c>
      <c r="H116" s="815">
        <v>0</v>
      </c>
      <c r="I116" s="815">
        <v>0</v>
      </c>
      <c r="J116" s="815">
        <v>0</v>
      </c>
      <c r="K116" s="819">
        <f t="shared" si="24"/>
        <v>80959.216780000002</v>
      </c>
      <c r="M116" s="808"/>
      <c r="N116" s="808"/>
      <c r="O116" s="808"/>
      <c r="P116" s="808"/>
      <c r="Q116" s="808"/>
      <c r="R116" s="808"/>
      <c r="S116" s="808"/>
      <c r="T116" s="808"/>
      <c r="U116" s="808"/>
      <c r="V116" s="808"/>
      <c r="W116" s="808"/>
      <c r="X116" s="808"/>
      <c r="Y116" s="808"/>
      <c r="Z116" s="808"/>
      <c r="AA116" s="808"/>
      <c r="AB116" s="808"/>
      <c r="AC116" s="808"/>
      <c r="AD116" s="808"/>
      <c r="AE116" s="808"/>
      <c r="AF116" s="808"/>
      <c r="AG116" s="808"/>
      <c r="AH116" s="808"/>
      <c r="AI116" s="808"/>
      <c r="AJ116" s="808"/>
      <c r="AK116" s="808"/>
      <c r="AL116" s="808"/>
      <c r="AM116" s="808"/>
      <c r="AN116" s="808"/>
      <c r="AO116" s="808"/>
      <c r="AP116" s="808"/>
      <c r="AQ116" s="808"/>
      <c r="AR116" s="808"/>
      <c r="AS116" s="808"/>
      <c r="AT116" s="808"/>
      <c r="AU116" s="808"/>
      <c r="AV116" s="808"/>
      <c r="AW116" s="808"/>
      <c r="AX116" s="808"/>
      <c r="AY116" s="808"/>
      <c r="AZ116" s="808"/>
      <c r="BA116" s="808"/>
      <c r="BB116" s="808"/>
      <c r="BC116" s="808"/>
      <c r="BD116" s="808"/>
      <c r="BE116" s="808"/>
      <c r="BF116" s="808"/>
      <c r="BG116" s="808"/>
      <c r="BH116" s="808"/>
      <c r="BI116" s="808"/>
      <c r="BJ116" s="808"/>
      <c r="BK116" s="808"/>
      <c r="BL116" s="808"/>
      <c r="BM116" s="808"/>
      <c r="BN116" s="808"/>
      <c r="BO116" s="808"/>
      <c r="BP116" s="808"/>
      <c r="BQ116" s="808"/>
      <c r="BR116" s="808"/>
      <c r="BS116" s="808"/>
      <c r="BT116" s="808"/>
      <c r="BU116" s="808"/>
      <c r="BV116" s="808"/>
      <c r="BW116" s="808"/>
      <c r="BX116" s="808"/>
      <c r="BY116" s="808"/>
      <c r="BZ116" s="808"/>
      <c r="CA116" s="808"/>
      <c r="CB116" s="808"/>
      <c r="CC116" s="808"/>
      <c r="CD116" s="808"/>
      <c r="CE116" s="808"/>
      <c r="CF116" s="808"/>
      <c r="CG116" s="808"/>
      <c r="CH116" s="808"/>
      <c r="CI116" s="808"/>
      <c r="CJ116" s="808"/>
      <c r="CK116" s="808"/>
      <c r="CL116" s="808"/>
      <c r="CM116" s="808"/>
      <c r="CN116" s="808"/>
      <c r="CO116" s="808"/>
      <c r="CP116" s="808"/>
      <c r="CQ116" s="808"/>
      <c r="CR116" s="808"/>
      <c r="CS116" s="808"/>
      <c r="CT116" s="808"/>
      <c r="CU116" s="808"/>
      <c r="CV116" s="808"/>
      <c r="CW116" s="808"/>
      <c r="CX116" s="808"/>
      <c r="CY116" s="808"/>
      <c r="CZ116" s="808"/>
      <c r="DA116" s="808"/>
      <c r="DB116" s="808"/>
      <c r="DC116" s="808"/>
      <c r="DD116" s="808"/>
      <c r="DE116" s="808"/>
      <c r="DF116" s="808"/>
      <c r="DG116" s="808"/>
      <c r="DH116" s="808"/>
      <c r="DI116" s="808"/>
      <c r="DJ116" s="808"/>
      <c r="DK116" s="808"/>
      <c r="DL116" s="808"/>
      <c r="DM116" s="808"/>
      <c r="DN116" s="808"/>
      <c r="DO116" s="808"/>
      <c r="DP116" s="808"/>
    </row>
    <row r="117" spans="1:120">
      <c r="A117" s="821"/>
      <c r="B117" s="813" t="s">
        <v>1233</v>
      </c>
      <c r="C117" s="814" t="s">
        <v>259</v>
      </c>
      <c r="D117" s="815">
        <v>0</v>
      </c>
      <c r="E117" s="815">
        <v>0</v>
      </c>
      <c r="F117" s="815">
        <v>0</v>
      </c>
      <c r="G117" s="815">
        <f>+[8]asset!$Q$3423/1000</f>
        <v>0.01</v>
      </c>
      <c r="H117" s="815">
        <v>0</v>
      </c>
      <c r="I117" s="815">
        <v>0</v>
      </c>
      <c r="J117" s="815">
        <v>0</v>
      </c>
      <c r="K117" s="819">
        <f t="shared" si="24"/>
        <v>0.01</v>
      </c>
      <c r="M117" s="808"/>
      <c r="N117" s="808"/>
      <c r="O117" s="808"/>
      <c r="P117" s="808"/>
      <c r="Q117" s="808"/>
      <c r="R117" s="808"/>
      <c r="S117" s="808"/>
      <c r="T117" s="808"/>
      <c r="U117" s="808"/>
      <c r="V117" s="808"/>
      <c r="W117" s="808"/>
      <c r="X117" s="808"/>
      <c r="Y117" s="808"/>
      <c r="Z117" s="808"/>
      <c r="AA117" s="808"/>
      <c r="AB117" s="808"/>
      <c r="AC117" s="808"/>
      <c r="AD117" s="808"/>
      <c r="AE117" s="808"/>
      <c r="AF117" s="808"/>
      <c r="AG117" s="808"/>
      <c r="AH117" s="808"/>
      <c r="AI117" s="808"/>
      <c r="AJ117" s="808"/>
      <c r="AK117" s="808"/>
      <c r="AL117" s="808"/>
      <c r="AM117" s="808"/>
      <c r="AN117" s="808"/>
      <c r="AO117" s="808"/>
      <c r="AP117" s="808"/>
      <c r="AQ117" s="808"/>
      <c r="AR117" s="808"/>
      <c r="AS117" s="808"/>
      <c r="AT117" s="808"/>
      <c r="AU117" s="808"/>
      <c r="AV117" s="808"/>
      <c r="AW117" s="808"/>
      <c r="AX117" s="808"/>
      <c r="AY117" s="808"/>
      <c r="AZ117" s="808"/>
      <c r="BA117" s="808"/>
      <c r="BB117" s="808"/>
      <c r="BC117" s="808"/>
      <c r="BD117" s="808"/>
      <c r="BE117" s="808"/>
      <c r="BF117" s="808"/>
      <c r="BG117" s="808"/>
      <c r="BH117" s="808"/>
      <c r="BI117" s="808"/>
      <c r="BJ117" s="808"/>
      <c r="BK117" s="808"/>
      <c r="BL117" s="808"/>
      <c r="BM117" s="808"/>
      <c r="BN117" s="808"/>
      <c r="BO117" s="808"/>
      <c r="BP117" s="808"/>
      <c r="BQ117" s="808"/>
      <c r="BR117" s="808"/>
      <c r="BS117" s="808"/>
      <c r="BT117" s="808"/>
      <c r="BU117" s="808"/>
      <c r="BV117" s="808"/>
      <c r="BW117" s="808"/>
      <c r="BX117" s="808"/>
      <c r="BY117" s="808"/>
      <c r="BZ117" s="808"/>
      <c r="CA117" s="808"/>
      <c r="CB117" s="808"/>
      <c r="CC117" s="808"/>
      <c r="CD117" s="808"/>
      <c r="CE117" s="808"/>
      <c r="CF117" s="808"/>
      <c r="CG117" s="808"/>
      <c r="CH117" s="808"/>
      <c r="CI117" s="808"/>
      <c r="CJ117" s="808"/>
      <c r="CK117" s="808"/>
      <c r="CL117" s="808"/>
      <c r="CM117" s="808"/>
      <c r="CN117" s="808"/>
      <c r="CO117" s="808"/>
      <c r="CP117" s="808"/>
      <c r="CQ117" s="808"/>
      <c r="CR117" s="808"/>
      <c r="CS117" s="808"/>
      <c r="CT117" s="808"/>
      <c r="CU117" s="808"/>
      <c r="CV117" s="808"/>
      <c r="CW117" s="808"/>
      <c r="CX117" s="808"/>
      <c r="CY117" s="808"/>
      <c r="CZ117" s="808"/>
      <c r="DA117" s="808"/>
      <c r="DB117" s="808"/>
      <c r="DC117" s="808"/>
      <c r="DD117" s="808"/>
      <c r="DE117" s="808"/>
      <c r="DF117" s="808"/>
      <c r="DG117" s="808"/>
      <c r="DH117" s="808"/>
      <c r="DI117" s="808"/>
      <c r="DJ117" s="808"/>
      <c r="DK117" s="808"/>
      <c r="DL117" s="808"/>
      <c r="DM117" s="808"/>
      <c r="DN117" s="808"/>
      <c r="DO117" s="808"/>
      <c r="DP117" s="808"/>
    </row>
    <row r="118" spans="1:120">
      <c r="A118" s="821"/>
      <c r="B118" s="813" t="s">
        <v>1234</v>
      </c>
      <c r="C118" s="814" t="s">
        <v>260</v>
      </c>
      <c r="D118" s="815">
        <v>0</v>
      </c>
      <c r="E118" s="815">
        <v>0</v>
      </c>
      <c r="F118" s="815">
        <v>0</v>
      </c>
      <c r="G118" s="815">
        <v>0</v>
      </c>
      <c r="H118" s="815">
        <v>0</v>
      </c>
      <c r="I118" s="815">
        <v>0</v>
      </c>
      <c r="J118" s="815">
        <v>0</v>
      </c>
      <c r="K118" s="819">
        <f t="shared" si="24"/>
        <v>0</v>
      </c>
      <c r="M118" s="808"/>
      <c r="N118" s="808"/>
      <c r="O118" s="808"/>
      <c r="P118" s="808"/>
      <c r="Q118" s="808"/>
      <c r="R118" s="808"/>
      <c r="S118" s="808"/>
      <c r="T118" s="808"/>
      <c r="U118" s="808"/>
      <c r="V118" s="808"/>
      <c r="W118" s="808"/>
      <c r="X118" s="808"/>
      <c r="Y118" s="808"/>
      <c r="Z118" s="808"/>
      <c r="AA118" s="808"/>
      <c r="AB118" s="808"/>
      <c r="AC118" s="808"/>
      <c r="AD118" s="808"/>
      <c r="AE118" s="808"/>
      <c r="AF118" s="808"/>
      <c r="AG118" s="808"/>
      <c r="AH118" s="808"/>
      <c r="AI118" s="808"/>
      <c r="AJ118" s="808"/>
      <c r="AK118" s="808"/>
      <c r="AL118" s="808"/>
      <c r="AM118" s="808"/>
      <c r="AN118" s="808"/>
      <c r="AO118" s="808"/>
      <c r="AP118" s="808"/>
      <c r="AQ118" s="808"/>
      <c r="AR118" s="808"/>
      <c r="AS118" s="808"/>
      <c r="AT118" s="808"/>
      <c r="AU118" s="808"/>
      <c r="AV118" s="808"/>
      <c r="AW118" s="808"/>
      <c r="AX118" s="808"/>
      <c r="AY118" s="808"/>
      <c r="AZ118" s="808"/>
      <c r="BA118" s="808"/>
      <c r="BB118" s="808"/>
      <c r="BC118" s="808"/>
      <c r="BD118" s="808"/>
      <c r="BE118" s="808"/>
      <c r="BF118" s="808"/>
      <c r="BG118" s="808"/>
      <c r="BH118" s="808"/>
      <c r="BI118" s="808"/>
      <c r="BJ118" s="808"/>
      <c r="BK118" s="808"/>
      <c r="BL118" s="808"/>
      <c r="BM118" s="808"/>
      <c r="BN118" s="808"/>
      <c r="BO118" s="808"/>
      <c r="BP118" s="808"/>
      <c r="BQ118" s="808"/>
      <c r="BR118" s="808"/>
      <c r="BS118" s="808"/>
      <c r="BT118" s="808"/>
      <c r="BU118" s="808"/>
      <c r="BV118" s="808"/>
      <c r="BW118" s="808"/>
      <c r="BX118" s="808"/>
      <c r="BY118" s="808"/>
      <c r="BZ118" s="808"/>
      <c r="CA118" s="808"/>
      <c r="CB118" s="808"/>
      <c r="CC118" s="808"/>
      <c r="CD118" s="808"/>
      <c r="CE118" s="808"/>
      <c r="CF118" s="808"/>
      <c r="CG118" s="808"/>
      <c r="CH118" s="808"/>
      <c r="CI118" s="808"/>
      <c r="CJ118" s="808"/>
      <c r="CK118" s="808"/>
      <c r="CL118" s="808"/>
      <c r="CM118" s="808"/>
      <c r="CN118" s="808"/>
      <c r="CO118" s="808"/>
      <c r="CP118" s="808"/>
      <c r="CQ118" s="808"/>
      <c r="CR118" s="808"/>
      <c r="CS118" s="808"/>
      <c r="CT118" s="808"/>
      <c r="CU118" s="808"/>
      <c r="CV118" s="808"/>
      <c r="CW118" s="808"/>
      <c r="CX118" s="808"/>
      <c r="CY118" s="808"/>
      <c r="CZ118" s="808"/>
      <c r="DA118" s="808"/>
      <c r="DB118" s="808"/>
      <c r="DC118" s="808"/>
      <c r="DD118" s="808"/>
      <c r="DE118" s="808"/>
      <c r="DF118" s="808"/>
      <c r="DG118" s="808"/>
      <c r="DH118" s="808"/>
      <c r="DI118" s="808"/>
      <c r="DJ118" s="808"/>
      <c r="DK118" s="808"/>
      <c r="DL118" s="808"/>
      <c r="DM118" s="808"/>
      <c r="DN118" s="808"/>
      <c r="DO118" s="808"/>
      <c r="DP118" s="808"/>
    </row>
    <row r="119" spans="1:120">
      <c r="B119" s="813" t="s">
        <v>949</v>
      </c>
      <c r="C119" s="814" t="s">
        <v>269</v>
      </c>
      <c r="D119" s="815">
        <v>0</v>
      </c>
      <c r="E119" s="815">
        <f>+E120</f>
        <v>8284.9583999999995</v>
      </c>
      <c r="F119" s="815">
        <v>0</v>
      </c>
      <c r="G119" s="815">
        <v>0</v>
      </c>
      <c r="H119" s="815">
        <v>0</v>
      </c>
      <c r="I119" s="815">
        <v>0</v>
      </c>
      <c r="J119" s="815">
        <v>0</v>
      </c>
      <c r="K119" s="819">
        <f t="shared" si="24"/>
        <v>8284.9583999999995</v>
      </c>
    </row>
    <row r="120" spans="1:120">
      <c r="B120" s="813" t="s">
        <v>1235</v>
      </c>
      <c r="C120" s="814" t="s">
        <v>261</v>
      </c>
      <c r="D120" s="815">
        <v>0</v>
      </c>
      <c r="E120" s="815">
        <f>+[8]asset!$W$3405/1000</f>
        <v>8284.9583999999995</v>
      </c>
      <c r="F120" s="815">
        <v>0</v>
      </c>
      <c r="G120" s="815">
        <v>0</v>
      </c>
      <c r="H120" s="815">
        <v>0</v>
      </c>
      <c r="I120" s="815">
        <v>0</v>
      </c>
      <c r="J120" s="815">
        <v>0</v>
      </c>
      <c r="K120" s="819">
        <f t="shared" si="24"/>
        <v>8284.9583999999995</v>
      </c>
    </row>
    <row r="121" spans="1:120">
      <c r="B121" s="813" t="s">
        <v>1237</v>
      </c>
      <c r="C121" s="814" t="s">
        <v>262</v>
      </c>
      <c r="D121" s="815">
        <v>0</v>
      </c>
      <c r="E121" s="815">
        <v>0</v>
      </c>
      <c r="F121" s="815">
        <v>0</v>
      </c>
      <c r="G121" s="815">
        <v>0</v>
      </c>
      <c r="H121" s="815">
        <v>0</v>
      </c>
      <c r="I121" s="815">
        <v>0</v>
      </c>
      <c r="J121" s="815">
        <v>0</v>
      </c>
      <c r="K121" s="819">
        <f t="shared" si="24"/>
        <v>0</v>
      </c>
    </row>
    <row r="122" spans="1:120">
      <c r="B122" s="813" t="s">
        <v>1239</v>
      </c>
      <c r="C122" s="814" t="s">
        <v>263</v>
      </c>
      <c r="D122" s="815">
        <v>0</v>
      </c>
      <c r="E122" s="815">
        <v>0</v>
      </c>
      <c r="F122" s="815">
        <v>0</v>
      </c>
      <c r="G122" s="815">
        <v>0</v>
      </c>
      <c r="H122" s="815">
        <v>0</v>
      </c>
      <c r="I122" s="815">
        <v>0</v>
      </c>
      <c r="J122" s="815">
        <v>0</v>
      </c>
      <c r="K122" s="819">
        <f t="shared" si="24"/>
        <v>0</v>
      </c>
    </row>
    <row r="123" spans="1:120">
      <c r="B123" s="813" t="s">
        <v>1242</v>
      </c>
      <c r="C123" s="814" t="s">
        <v>195</v>
      </c>
      <c r="D123" s="815">
        <v>0</v>
      </c>
      <c r="E123" s="815">
        <f>+E113+E114-E119</f>
        <v>385842.75838000001</v>
      </c>
      <c r="F123" s="815">
        <f t="shared" ref="F123:J123" si="25">+F113+F114</f>
        <v>0</v>
      </c>
      <c r="G123" s="815">
        <f>+G113+G114</f>
        <v>165858.13615000001</v>
      </c>
      <c r="H123" s="815">
        <f t="shared" si="25"/>
        <v>0</v>
      </c>
      <c r="I123" s="815">
        <f t="shared" si="25"/>
        <v>0</v>
      </c>
      <c r="J123" s="815">
        <f t="shared" si="25"/>
        <v>0</v>
      </c>
      <c r="K123" s="819">
        <f t="shared" si="24"/>
        <v>551700.89453000005</v>
      </c>
    </row>
    <row r="124" spans="1:120">
      <c r="B124" s="813" t="s">
        <v>950</v>
      </c>
      <c r="C124" s="816" t="s">
        <v>1264</v>
      </c>
      <c r="D124" s="815">
        <v>0</v>
      </c>
      <c r="E124" s="815">
        <v>0</v>
      </c>
      <c r="F124" s="815">
        <v>0</v>
      </c>
      <c r="G124" s="815">
        <v>0</v>
      </c>
      <c r="H124" s="815">
        <v>0</v>
      </c>
      <c r="I124" s="815">
        <v>0</v>
      </c>
      <c r="J124" s="815">
        <v>0</v>
      </c>
      <c r="K124" s="819">
        <f t="shared" si="24"/>
        <v>0</v>
      </c>
    </row>
    <row r="125" spans="1:120">
      <c r="B125" s="813" t="s">
        <v>951</v>
      </c>
      <c r="C125" s="814" t="s">
        <v>194</v>
      </c>
      <c r="D125" s="815">
        <v>0</v>
      </c>
      <c r="E125" s="815">
        <v>147548.29999999999</v>
      </c>
      <c r="F125" s="815">
        <v>0</v>
      </c>
      <c r="G125" s="815">
        <v>51897.200000000004</v>
      </c>
      <c r="H125" s="815">
        <v>0</v>
      </c>
      <c r="I125" s="815">
        <v>0</v>
      </c>
      <c r="J125" s="815">
        <v>0</v>
      </c>
      <c r="K125" s="819">
        <f t="shared" si="24"/>
        <v>199445.5</v>
      </c>
    </row>
    <row r="126" spans="1:120">
      <c r="B126" s="813" t="s">
        <v>953</v>
      </c>
      <c r="C126" s="814" t="s">
        <v>233</v>
      </c>
      <c r="D126" s="815">
        <v>0</v>
      </c>
      <c r="E126" s="815">
        <f>+E127</f>
        <v>79085.232850000015</v>
      </c>
      <c r="F126" s="815">
        <v>0</v>
      </c>
      <c r="G126" s="815">
        <f>+[8]depreciation!$L$3399/1000-0.4</f>
        <v>50071.774010000001</v>
      </c>
      <c r="H126" s="815">
        <v>0</v>
      </c>
      <c r="I126" s="815">
        <v>0</v>
      </c>
      <c r="J126" s="815">
        <v>0</v>
      </c>
      <c r="K126" s="819">
        <f t="shared" si="24"/>
        <v>129157.00686000002</v>
      </c>
    </row>
    <row r="127" spans="1:120">
      <c r="B127" s="813" t="s">
        <v>1247</v>
      </c>
      <c r="C127" s="814" t="s">
        <v>285</v>
      </c>
      <c r="D127" s="815">
        <v>0</v>
      </c>
      <c r="E127" s="815">
        <f>+[8]depreciation!$L$3386/1000</f>
        <v>79085.232850000015</v>
      </c>
      <c r="F127" s="815">
        <v>0</v>
      </c>
      <c r="G127" s="815">
        <f>+G126</f>
        <v>50071.774010000001</v>
      </c>
      <c r="H127" s="815">
        <v>0</v>
      </c>
      <c r="I127" s="815">
        <v>0</v>
      </c>
      <c r="J127" s="815">
        <v>0</v>
      </c>
      <c r="K127" s="819">
        <f t="shared" si="24"/>
        <v>129157.00686000002</v>
      </c>
    </row>
    <row r="128" spans="1:120">
      <c r="B128" s="813" t="s">
        <v>1249</v>
      </c>
      <c r="C128" s="814" t="s">
        <v>286</v>
      </c>
      <c r="D128" s="815">
        <v>0</v>
      </c>
      <c r="E128" s="815">
        <v>0</v>
      </c>
      <c r="F128" s="815">
        <v>0</v>
      </c>
      <c r="G128" s="815">
        <v>0</v>
      </c>
      <c r="H128" s="815">
        <v>0</v>
      </c>
      <c r="I128" s="815">
        <v>0</v>
      </c>
      <c r="J128" s="815">
        <v>0</v>
      </c>
      <c r="K128" s="819">
        <f t="shared" si="24"/>
        <v>0</v>
      </c>
    </row>
    <row r="129" spans="1:120">
      <c r="B129" s="813" t="s">
        <v>1250</v>
      </c>
      <c r="C129" s="814" t="s">
        <v>1265</v>
      </c>
      <c r="D129" s="815">
        <v>0</v>
      </c>
      <c r="E129" s="815">
        <v>0</v>
      </c>
      <c r="F129" s="815">
        <v>0</v>
      </c>
      <c r="G129" s="815">
        <v>0</v>
      </c>
      <c r="H129" s="815">
        <v>0</v>
      </c>
      <c r="I129" s="815">
        <v>0</v>
      </c>
      <c r="J129" s="815">
        <v>0</v>
      </c>
      <c r="K129" s="819">
        <f t="shared" si="24"/>
        <v>0</v>
      </c>
    </row>
    <row r="130" spans="1:120">
      <c r="B130" s="813" t="s">
        <v>954</v>
      </c>
      <c r="C130" s="814" t="s">
        <v>1207</v>
      </c>
      <c r="D130" s="815">
        <v>0</v>
      </c>
      <c r="E130" s="815">
        <f>+E133</f>
        <v>-86628.38</v>
      </c>
      <c r="F130" s="815">
        <f t="shared" ref="F130:J130" si="26">+F133</f>
        <v>0</v>
      </c>
      <c r="G130" s="815">
        <f t="shared" si="26"/>
        <v>0</v>
      </c>
      <c r="H130" s="815">
        <f t="shared" si="26"/>
        <v>0</v>
      </c>
      <c r="I130" s="815">
        <f t="shared" si="26"/>
        <v>0</v>
      </c>
      <c r="J130" s="815">
        <f t="shared" si="26"/>
        <v>0</v>
      </c>
      <c r="K130" s="819">
        <f t="shared" si="24"/>
        <v>-86628.38</v>
      </c>
    </row>
    <row r="131" spans="1:120">
      <c r="B131" s="813" t="s">
        <v>1251</v>
      </c>
      <c r="C131" s="814" t="s">
        <v>287</v>
      </c>
      <c r="D131" s="815">
        <v>0</v>
      </c>
      <c r="E131" s="815">
        <v>0</v>
      </c>
      <c r="F131" s="815">
        <v>0</v>
      </c>
      <c r="G131" s="815">
        <v>0</v>
      </c>
      <c r="H131" s="815">
        <v>0</v>
      </c>
      <c r="I131" s="815">
        <v>0</v>
      </c>
      <c r="J131" s="815">
        <v>0</v>
      </c>
      <c r="K131" s="819">
        <f t="shared" si="24"/>
        <v>0</v>
      </c>
    </row>
    <row r="132" spans="1:120">
      <c r="B132" s="813" t="s">
        <v>1253</v>
      </c>
      <c r="C132" s="814" t="s">
        <v>1254</v>
      </c>
      <c r="D132" s="815">
        <v>0</v>
      </c>
      <c r="E132" s="815">
        <v>0</v>
      </c>
      <c r="F132" s="815">
        <v>0</v>
      </c>
      <c r="G132" s="815">
        <v>0</v>
      </c>
      <c r="H132" s="815">
        <v>0</v>
      </c>
      <c r="I132" s="815">
        <v>0</v>
      </c>
      <c r="J132" s="815">
        <v>0</v>
      </c>
      <c r="K132" s="819">
        <f t="shared" si="24"/>
        <v>0</v>
      </c>
    </row>
    <row r="133" spans="1:120">
      <c r="B133" s="813" t="s">
        <v>1255</v>
      </c>
      <c r="C133" s="814" t="s">
        <v>271</v>
      </c>
      <c r="D133" s="815">
        <v>0</v>
      </c>
      <c r="E133" s="815">
        <v>-86628.38</v>
      </c>
      <c r="F133" s="815">
        <v>0</v>
      </c>
      <c r="G133" s="815">
        <v>0</v>
      </c>
      <c r="H133" s="815">
        <v>0</v>
      </c>
      <c r="I133" s="815">
        <v>0</v>
      </c>
      <c r="J133" s="815">
        <v>0</v>
      </c>
      <c r="K133" s="819">
        <f t="shared" si="24"/>
        <v>-86628.38</v>
      </c>
    </row>
    <row r="134" spans="1:120">
      <c r="B134" s="813" t="s">
        <v>955</v>
      </c>
      <c r="C134" s="814" t="s">
        <v>195</v>
      </c>
      <c r="D134" s="815">
        <v>0</v>
      </c>
      <c r="E134" s="815">
        <f>+E125+E126-E130</f>
        <v>313261.91285000002</v>
      </c>
      <c r="F134" s="815">
        <f t="shared" ref="F134:J134" si="27">+F125+F126-F130</f>
        <v>0</v>
      </c>
      <c r="G134" s="815">
        <f t="shared" si="27"/>
        <v>101968.97401000001</v>
      </c>
      <c r="H134" s="815">
        <f t="shared" si="27"/>
        <v>0</v>
      </c>
      <c r="I134" s="815">
        <f t="shared" si="27"/>
        <v>0</v>
      </c>
      <c r="J134" s="815">
        <f t="shared" si="27"/>
        <v>0</v>
      </c>
      <c r="K134" s="815">
        <f t="shared" ref="K134" si="28">+K125+K126</f>
        <v>328602.50686000002</v>
      </c>
    </row>
    <row r="135" spans="1:120">
      <c r="A135" s="821"/>
      <c r="B135" s="813" t="s">
        <v>961</v>
      </c>
      <c r="C135" s="816" t="s">
        <v>272</v>
      </c>
      <c r="D135" s="815">
        <v>0</v>
      </c>
      <c r="E135" s="815">
        <v>0</v>
      </c>
      <c r="F135" s="815">
        <v>0</v>
      </c>
      <c r="G135" s="815">
        <v>0</v>
      </c>
      <c r="H135" s="815">
        <v>0</v>
      </c>
      <c r="I135" s="815">
        <v>0</v>
      </c>
      <c r="J135" s="815">
        <v>0</v>
      </c>
      <c r="K135" s="819">
        <f t="shared" si="24"/>
        <v>0</v>
      </c>
      <c r="M135" s="808"/>
      <c r="N135" s="808"/>
      <c r="O135" s="808"/>
      <c r="P135" s="808"/>
      <c r="Q135" s="808"/>
      <c r="R135" s="808"/>
      <c r="S135" s="808"/>
      <c r="T135" s="808"/>
      <c r="U135" s="808"/>
      <c r="V135" s="808"/>
      <c r="W135" s="808"/>
      <c r="X135" s="808"/>
      <c r="Y135" s="808"/>
      <c r="Z135" s="808"/>
      <c r="AA135" s="808"/>
      <c r="AB135" s="808"/>
      <c r="AC135" s="808"/>
      <c r="AD135" s="808"/>
      <c r="AE135" s="808"/>
      <c r="AF135" s="808"/>
      <c r="AG135" s="808"/>
      <c r="AH135" s="808"/>
      <c r="AI135" s="808"/>
      <c r="AJ135" s="808"/>
      <c r="AK135" s="808"/>
      <c r="AL135" s="808"/>
      <c r="AM135" s="808"/>
      <c r="AN135" s="808"/>
      <c r="AO135" s="808"/>
      <c r="AP135" s="808"/>
      <c r="AQ135" s="808"/>
      <c r="AR135" s="808"/>
      <c r="AS135" s="808"/>
      <c r="AT135" s="808"/>
      <c r="AU135" s="808"/>
      <c r="AV135" s="808"/>
      <c r="AW135" s="808"/>
      <c r="AX135" s="808"/>
      <c r="AY135" s="808"/>
      <c r="AZ135" s="808"/>
      <c r="BA135" s="808"/>
      <c r="BB135" s="808"/>
      <c r="BC135" s="808"/>
      <c r="BD135" s="808"/>
      <c r="BE135" s="808"/>
      <c r="BF135" s="808"/>
      <c r="BG135" s="808"/>
      <c r="BH135" s="808"/>
      <c r="BI135" s="808"/>
      <c r="BJ135" s="808"/>
      <c r="BK135" s="808"/>
      <c r="BL135" s="808"/>
      <c r="BM135" s="808"/>
      <c r="BN135" s="808"/>
      <c r="BO135" s="808"/>
      <c r="BP135" s="808"/>
      <c r="BQ135" s="808"/>
      <c r="BR135" s="808"/>
      <c r="BS135" s="808"/>
      <c r="BT135" s="808"/>
      <c r="BU135" s="808"/>
      <c r="BV135" s="808"/>
      <c r="BW135" s="808"/>
      <c r="BX135" s="808"/>
      <c r="BY135" s="808"/>
      <c r="BZ135" s="808"/>
      <c r="CA135" s="808"/>
      <c r="CB135" s="808"/>
      <c r="CC135" s="808"/>
      <c r="CD135" s="808"/>
      <c r="CE135" s="808"/>
      <c r="CF135" s="808"/>
      <c r="CG135" s="808"/>
      <c r="CH135" s="808"/>
      <c r="CI135" s="808"/>
      <c r="CJ135" s="808"/>
      <c r="CK135" s="808"/>
      <c r="CL135" s="808"/>
      <c r="CM135" s="808"/>
      <c r="CN135" s="808"/>
      <c r="CO135" s="808"/>
      <c r="CP135" s="808"/>
      <c r="CQ135" s="808"/>
      <c r="CR135" s="808"/>
      <c r="CS135" s="808"/>
      <c r="CT135" s="808"/>
      <c r="CU135" s="808"/>
      <c r="CV135" s="808"/>
      <c r="CW135" s="808"/>
      <c r="CX135" s="808"/>
      <c r="CY135" s="808"/>
      <c r="CZ135" s="808"/>
      <c r="DA135" s="808"/>
      <c r="DB135" s="808"/>
      <c r="DC135" s="808"/>
      <c r="DD135" s="808"/>
      <c r="DE135" s="808"/>
      <c r="DF135" s="808"/>
      <c r="DG135" s="808"/>
      <c r="DH135" s="808"/>
      <c r="DI135" s="808"/>
      <c r="DJ135" s="808"/>
      <c r="DK135" s="808"/>
      <c r="DL135" s="808"/>
      <c r="DM135" s="808"/>
      <c r="DN135" s="808"/>
      <c r="DO135" s="808"/>
      <c r="DP135" s="808"/>
    </row>
    <row r="136" spans="1:120">
      <c r="A136" s="821"/>
      <c r="B136" s="813" t="s">
        <v>967</v>
      </c>
      <c r="C136" s="814" t="s">
        <v>194</v>
      </c>
      <c r="D136" s="815">
        <v>0</v>
      </c>
      <c r="E136" s="815">
        <v>95941.3</v>
      </c>
      <c r="F136" s="815">
        <v>0</v>
      </c>
      <c r="G136" s="815">
        <v>140801.70000000001</v>
      </c>
      <c r="H136" s="815">
        <v>0</v>
      </c>
      <c r="I136" s="815">
        <v>0</v>
      </c>
      <c r="J136" s="815">
        <v>0</v>
      </c>
      <c r="K136" s="819">
        <f t="shared" si="24"/>
        <v>236743</v>
      </c>
      <c r="M136" s="808"/>
      <c r="N136" s="808"/>
      <c r="O136" s="808"/>
      <c r="P136" s="808"/>
      <c r="Q136" s="808"/>
      <c r="R136" s="808"/>
      <c r="S136" s="808"/>
      <c r="T136" s="808"/>
      <c r="U136" s="808"/>
      <c r="V136" s="808"/>
      <c r="W136" s="808"/>
      <c r="X136" s="808"/>
      <c r="Y136" s="808"/>
      <c r="Z136" s="808"/>
      <c r="AA136" s="808"/>
      <c r="AB136" s="808"/>
      <c r="AC136" s="808"/>
      <c r="AD136" s="808"/>
      <c r="AE136" s="808"/>
      <c r="AF136" s="808"/>
      <c r="AG136" s="808"/>
      <c r="AH136" s="808"/>
      <c r="AI136" s="808"/>
      <c r="AJ136" s="808"/>
      <c r="AK136" s="808"/>
      <c r="AL136" s="808"/>
      <c r="AM136" s="808"/>
      <c r="AN136" s="808"/>
      <c r="AO136" s="808"/>
      <c r="AP136" s="808"/>
      <c r="AQ136" s="808"/>
      <c r="AR136" s="808"/>
      <c r="AS136" s="808"/>
      <c r="AT136" s="808"/>
      <c r="AU136" s="808"/>
      <c r="AV136" s="808"/>
      <c r="AW136" s="808"/>
      <c r="AX136" s="808"/>
      <c r="AY136" s="808"/>
      <c r="AZ136" s="808"/>
      <c r="BA136" s="808"/>
      <c r="BB136" s="808"/>
      <c r="BC136" s="808"/>
      <c r="BD136" s="808"/>
      <c r="BE136" s="808"/>
      <c r="BF136" s="808"/>
      <c r="BG136" s="808"/>
      <c r="BH136" s="808"/>
      <c r="BI136" s="808"/>
      <c r="BJ136" s="808"/>
      <c r="BK136" s="808"/>
      <c r="BL136" s="808"/>
      <c r="BM136" s="808"/>
      <c r="BN136" s="808"/>
      <c r="BO136" s="808"/>
      <c r="BP136" s="808"/>
      <c r="BQ136" s="808"/>
      <c r="BR136" s="808"/>
      <c r="BS136" s="808"/>
      <c r="BT136" s="808"/>
      <c r="BU136" s="808"/>
      <c r="BV136" s="808"/>
      <c r="BW136" s="808"/>
      <c r="BX136" s="808"/>
      <c r="BY136" s="808"/>
      <c r="BZ136" s="808"/>
      <c r="CA136" s="808"/>
      <c r="CB136" s="808"/>
      <c r="CC136" s="808"/>
      <c r="CD136" s="808"/>
      <c r="CE136" s="808"/>
      <c r="CF136" s="808"/>
      <c r="CG136" s="808"/>
      <c r="CH136" s="808"/>
      <c r="CI136" s="808"/>
      <c r="CJ136" s="808"/>
      <c r="CK136" s="808"/>
      <c r="CL136" s="808"/>
      <c r="CM136" s="808"/>
      <c r="CN136" s="808"/>
      <c r="CO136" s="808"/>
      <c r="CP136" s="808"/>
      <c r="CQ136" s="808"/>
      <c r="CR136" s="808"/>
      <c r="CS136" s="808"/>
      <c r="CT136" s="808"/>
      <c r="CU136" s="808"/>
      <c r="CV136" s="808"/>
      <c r="CW136" s="808"/>
      <c r="CX136" s="808"/>
      <c r="CY136" s="808"/>
      <c r="CZ136" s="808"/>
      <c r="DA136" s="808"/>
      <c r="DB136" s="808"/>
      <c r="DC136" s="808"/>
      <c r="DD136" s="808"/>
      <c r="DE136" s="808"/>
      <c r="DF136" s="808"/>
      <c r="DG136" s="808"/>
      <c r="DH136" s="808"/>
      <c r="DI136" s="808"/>
      <c r="DJ136" s="808"/>
      <c r="DK136" s="808"/>
      <c r="DL136" s="808"/>
      <c r="DM136" s="808"/>
      <c r="DN136" s="808"/>
      <c r="DO136" s="808"/>
      <c r="DP136" s="808"/>
    </row>
    <row r="137" spans="1:120">
      <c r="A137" s="821"/>
      <c r="B137" s="813" t="s">
        <v>968</v>
      </c>
      <c r="C137" s="814" t="s">
        <v>195</v>
      </c>
      <c r="D137" s="815">
        <v>0</v>
      </c>
      <c r="E137" s="815">
        <f>+E123-E134</f>
        <v>72580.845529999991</v>
      </c>
      <c r="F137" s="815">
        <f t="shared" ref="F137:J137" si="29">+F123-F134</f>
        <v>0</v>
      </c>
      <c r="G137" s="815">
        <f>+G123-G134</f>
        <v>63889.16214</v>
      </c>
      <c r="H137" s="815">
        <f t="shared" si="29"/>
        <v>0</v>
      </c>
      <c r="I137" s="815">
        <f t="shared" si="29"/>
        <v>0</v>
      </c>
      <c r="J137" s="815">
        <f t="shared" si="29"/>
        <v>0</v>
      </c>
      <c r="K137" s="819">
        <f>SUM(E137:J137)</f>
        <v>136470.00766999999</v>
      </c>
      <c r="L137" s="214">
        <f>+balance!D22</f>
        <v>1180716045.7266014</v>
      </c>
      <c r="M137" s="808"/>
      <c r="N137" s="808"/>
      <c r="O137" s="808"/>
      <c r="P137" s="808"/>
      <c r="Q137" s="808"/>
      <c r="R137" s="808"/>
      <c r="S137" s="808"/>
      <c r="T137" s="808"/>
      <c r="U137" s="808"/>
      <c r="V137" s="808"/>
      <c r="W137" s="808"/>
      <c r="X137" s="808"/>
      <c r="Y137" s="808"/>
      <c r="Z137" s="808"/>
      <c r="AA137" s="808"/>
      <c r="AB137" s="808"/>
      <c r="AC137" s="808"/>
      <c r="AD137" s="808"/>
      <c r="AE137" s="808"/>
      <c r="AF137" s="808"/>
      <c r="AG137" s="808"/>
      <c r="AH137" s="808"/>
      <c r="AI137" s="808"/>
      <c r="AJ137" s="808"/>
      <c r="AK137" s="808"/>
      <c r="AL137" s="808"/>
      <c r="AM137" s="808"/>
      <c r="AN137" s="808"/>
      <c r="AO137" s="808"/>
      <c r="AP137" s="808"/>
      <c r="AQ137" s="808"/>
      <c r="AR137" s="808"/>
      <c r="AS137" s="808"/>
      <c r="AT137" s="808"/>
      <c r="AU137" s="808"/>
      <c r="AV137" s="808"/>
      <c r="AW137" s="808"/>
      <c r="AX137" s="808"/>
      <c r="AY137" s="808"/>
      <c r="AZ137" s="808"/>
      <c r="BA137" s="808"/>
      <c r="BB137" s="808"/>
      <c r="BC137" s="808"/>
      <c r="BD137" s="808"/>
      <c r="BE137" s="808"/>
      <c r="BF137" s="808"/>
      <c r="BG137" s="808"/>
      <c r="BH137" s="808"/>
      <c r="BI137" s="808"/>
      <c r="BJ137" s="808"/>
      <c r="BK137" s="808"/>
      <c r="BL137" s="808"/>
      <c r="BM137" s="808"/>
      <c r="BN137" s="808"/>
      <c r="BO137" s="808"/>
      <c r="BP137" s="808"/>
      <c r="BQ137" s="808"/>
      <c r="BR137" s="808"/>
      <c r="BS137" s="808"/>
      <c r="BT137" s="808"/>
      <c r="BU137" s="808"/>
      <c r="BV137" s="808"/>
      <c r="BW137" s="808"/>
      <c r="BX137" s="808"/>
      <c r="BY137" s="808"/>
      <c r="BZ137" s="808"/>
      <c r="CA137" s="808"/>
      <c r="CB137" s="808"/>
      <c r="CC137" s="808"/>
      <c r="CD137" s="808"/>
      <c r="CE137" s="808"/>
      <c r="CF137" s="808"/>
      <c r="CG137" s="808"/>
      <c r="CH137" s="808"/>
      <c r="CI137" s="808"/>
      <c r="CJ137" s="808"/>
      <c r="CK137" s="808"/>
      <c r="CL137" s="808"/>
      <c r="CM137" s="808"/>
      <c r="CN137" s="808"/>
      <c r="CO137" s="808"/>
      <c r="CP137" s="808"/>
      <c r="CQ137" s="808"/>
      <c r="CR137" s="808"/>
      <c r="CS137" s="808"/>
      <c r="CT137" s="808"/>
      <c r="CU137" s="808"/>
      <c r="CV137" s="808"/>
      <c r="CW137" s="808"/>
      <c r="CX137" s="808"/>
      <c r="CY137" s="808"/>
      <c r="CZ137" s="808"/>
      <c r="DA137" s="808"/>
      <c r="DB137" s="808"/>
      <c r="DC137" s="808"/>
      <c r="DD137" s="808"/>
      <c r="DE137" s="808"/>
      <c r="DF137" s="808"/>
      <c r="DG137" s="808"/>
      <c r="DH137" s="808"/>
      <c r="DI137" s="808"/>
      <c r="DJ137" s="808"/>
      <c r="DK137" s="808"/>
      <c r="DL137" s="808"/>
      <c r="DM137" s="808"/>
      <c r="DN137" s="808"/>
      <c r="DO137" s="808"/>
      <c r="DP137" s="808"/>
    </row>
    <row r="138" spans="1:120">
      <c r="A138" s="821"/>
      <c r="B138" s="809" t="s">
        <v>1204</v>
      </c>
      <c r="C138" s="808"/>
      <c r="K138" s="214"/>
      <c r="L138" s="214">
        <f>+L137/1000</f>
        <v>1180716.0457266013</v>
      </c>
      <c r="M138" s="808"/>
      <c r="N138" s="808"/>
      <c r="O138" s="808"/>
      <c r="P138" s="808"/>
      <c r="Q138" s="808"/>
      <c r="R138" s="808"/>
      <c r="S138" s="808"/>
      <c r="T138" s="808"/>
      <c r="U138" s="808"/>
      <c r="V138" s="808"/>
      <c r="W138" s="808"/>
      <c r="X138" s="808"/>
      <c r="Y138" s="808"/>
      <c r="Z138" s="808"/>
      <c r="AA138" s="808"/>
      <c r="AB138" s="808"/>
      <c r="AC138" s="808"/>
      <c r="AD138" s="808"/>
      <c r="AE138" s="808"/>
      <c r="AF138" s="808"/>
      <c r="AG138" s="808"/>
      <c r="AH138" s="808"/>
      <c r="AI138" s="808"/>
      <c r="AJ138" s="808"/>
      <c r="AK138" s="808"/>
      <c r="AL138" s="808"/>
      <c r="AM138" s="808"/>
      <c r="AN138" s="808"/>
      <c r="AO138" s="808"/>
      <c r="AP138" s="808"/>
      <c r="AQ138" s="808"/>
      <c r="AR138" s="808"/>
      <c r="AS138" s="808"/>
      <c r="AT138" s="808"/>
      <c r="AU138" s="808"/>
      <c r="AV138" s="808"/>
      <c r="AW138" s="808"/>
      <c r="AX138" s="808"/>
      <c r="AY138" s="808"/>
      <c r="AZ138" s="808"/>
      <c r="BA138" s="808"/>
      <c r="BB138" s="808"/>
      <c r="BC138" s="808"/>
      <c r="BD138" s="808"/>
      <c r="BE138" s="808"/>
      <c r="BF138" s="808"/>
      <c r="BG138" s="808"/>
      <c r="BH138" s="808"/>
      <c r="BI138" s="808"/>
      <c r="BJ138" s="808"/>
      <c r="BK138" s="808"/>
      <c r="BL138" s="808"/>
      <c r="BM138" s="808"/>
      <c r="BN138" s="808"/>
      <c r="BO138" s="808"/>
      <c r="BP138" s="808"/>
      <c r="BQ138" s="808"/>
      <c r="BR138" s="808"/>
      <c r="BS138" s="808"/>
      <c r="BT138" s="808"/>
      <c r="BU138" s="808"/>
      <c r="BV138" s="808"/>
      <c r="BW138" s="808"/>
      <c r="BX138" s="808"/>
      <c r="BY138" s="808"/>
      <c r="BZ138" s="808"/>
      <c r="CA138" s="808"/>
      <c r="CB138" s="808"/>
      <c r="CC138" s="808"/>
      <c r="CD138" s="808"/>
      <c r="CE138" s="808"/>
      <c r="CF138" s="808"/>
      <c r="CG138" s="808"/>
      <c r="CH138" s="808"/>
      <c r="CI138" s="808"/>
      <c r="CJ138" s="808"/>
      <c r="CK138" s="808"/>
      <c r="CL138" s="808"/>
      <c r="CM138" s="808"/>
      <c r="CN138" s="808"/>
      <c r="CO138" s="808"/>
      <c r="CP138" s="808"/>
      <c r="CQ138" s="808"/>
      <c r="CR138" s="808"/>
      <c r="CS138" s="808"/>
      <c r="CT138" s="808"/>
      <c r="CU138" s="808"/>
      <c r="CV138" s="808"/>
      <c r="CW138" s="808"/>
      <c r="CX138" s="808"/>
      <c r="CY138" s="808"/>
      <c r="CZ138" s="808"/>
      <c r="DA138" s="808"/>
      <c r="DB138" s="808"/>
      <c r="DC138" s="808"/>
      <c r="DD138" s="808"/>
      <c r="DE138" s="808"/>
      <c r="DF138" s="808"/>
      <c r="DG138" s="808"/>
      <c r="DH138" s="808"/>
      <c r="DI138" s="808"/>
      <c r="DJ138" s="808"/>
      <c r="DK138" s="808"/>
      <c r="DL138" s="808"/>
      <c r="DM138" s="808"/>
      <c r="DN138" s="808"/>
      <c r="DO138" s="808"/>
      <c r="DP138" s="808"/>
    </row>
    <row r="139" spans="1:120" hidden="1">
      <c r="A139" s="821"/>
      <c r="B139" s="809" t="s">
        <v>1266</v>
      </c>
      <c r="C139" s="808"/>
      <c r="K139" s="808"/>
      <c r="M139" s="808"/>
      <c r="N139" s="808"/>
      <c r="O139" s="808"/>
      <c r="P139" s="808"/>
      <c r="Q139" s="808"/>
      <c r="R139" s="808"/>
      <c r="S139" s="808"/>
      <c r="T139" s="808"/>
      <c r="U139" s="808"/>
      <c r="V139" s="808"/>
      <c r="W139" s="808"/>
      <c r="X139" s="808"/>
      <c r="Y139" s="808"/>
      <c r="Z139" s="808"/>
      <c r="AA139" s="808"/>
      <c r="AB139" s="808"/>
      <c r="AC139" s="808"/>
      <c r="AD139" s="808"/>
      <c r="AE139" s="808"/>
      <c r="AF139" s="808"/>
      <c r="AG139" s="808"/>
      <c r="AH139" s="808"/>
      <c r="AI139" s="808"/>
      <c r="AJ139" s="808"/>
      <c r="AK139" s="808"/>
      <c r="AL139" s="808"/>
      <c r="AM139" s="808"/>
      <c r="AN139" s="808"/>
      <c r="AO139" s="808"/>
      <c r="AP139" s="808"/>
      <c r="AQ139" s="808"/>
      <c r="AR139" s="808"/>
      <c r="AS139" s="808"/>
      <c r="AT139" s="808"/>
      <c r="AU139" s="808"/>
      <c r="AV139" s="808"/>
      <c r="AW139" s="808"/>
      <c r="AX139" s="808"/>
      <c r="AY139" s="808"/>
      <c r="AZ139" s="808"/>
      <c r="BA139" s="808"/>
      <c r="BB139" s="808"/>
      <c r="BC139" s="808"/>
      <c r="BD139" s="808"/>
      <c r="BE139" s="808"/>
      <c r="BF139" s="808"/>
      <c r="BG139" s="808"/>
      <c r="BH139" s="808"/>
      <c r="BI139" s="808"/>
      <c r="BJ139" s="808"/>
      <c r="BK139" s="808"/>
      <c r="BL139" s="808"/>
      <c r="BM139" s="808"/>
      <c r="BN139" s="808"/>
      <c r="BO139" s="808"/>
      <c r="BP139" s="808"/>
      <c r="BQ139" s="808"/>
      <c r="BR139" s="808"/>
      <c r="BS139" s="808"/>
      <c r="BT139" s="808"/>
      <c r="BU139" s="808"/>
      <c r="BV139" s="808"/>
      <c r="BW139" s="808"/>
      <c r="BX139" s="808"/>
      <c r="BY139" s="808"/>
      <c r="BZ139" s="808"/>
      <c r="CA139" s="808"/>
      <c r="CB139" s="808"/>
      <c r="CC139" s="808"/>
      <c r="CD139" s="808"/>
      <c r="CE139" s="808"/>
      <c r="CF139" s="808"/>
      <c r="CG139" s="808"/>
      <c r="CH139" s="808"/>
      <c r="CI139" s="808"/>
      <c r="CJ139" s="808"/>
      <c r="CK139" s="808"/>
      <c r="CL139" s="808"/>
      <c r="CM139" s="808"/>
      <c r="CN139" s="808"/>
      <c r="CO139" s="808"/>
      <c r="CP139" s="808"/>
      <c r="CQ139" s="808"/>
      <c r="CR139" s="808"/>
      <c r="CS139" s="808"/>
      <c r="CT139" s="808"/>
      <c r="CU139" s="808"/>
      <c r="CV139" s="808"/>
      <c r="CW139" s="808"/>
      <c r="CX139" s="808"/>
      <c r="CY139" s="808"/>
      <c r="CZ139" s="808"/>
      <c r="DA139" s="808"/>
      <c r="DB139" s="808"/>
      <c r="DC139" s="808"/>
      <c r="DD139" s="808"/>
      <c r="DE139" s="808"/>
      <c r="DF139" s="808"/>
      <c r="DG139" s="808"/>
      <c r="DH139" s="808"/>
      <c r="DI139" s="808"/>
      <c r="DJ139" s="808"/>
      <c r="DK139" s="808"/>
      <c r="DL139" s="808"/>
      <c r="DM139" s="808"/>
      <c r="DN139" s="808"/>
      <c r="DO139" s="808"/>
      <c r="DP139" s="808"/>
    </row>
    <row r="140" spans="1:120" hidden="1">
      <c r="A140" s="821"/>
      <c r="B140" s="807"/>
      <c r="C140" s="808"/>
      <c r="I140" s="810"/>
      <c r="K140" s="808"/>
      <c r="M140" s="808"/>
      <c r="N140" s="808"/>
      <c r="O140" s="808"/>
      <c r="P140" s="808"/>
      <c r="Q140" s="808"/>
      <c r="R140" s="808"/>
      <c r="S140" s="808"/>
      <c r="T140" s="808"/>
      <c r="U140" s="808"/>
      <c r="V140" s="808"/>
      <c r="W140" s="808"/>
      <c r="X140" s="808"/>
      <c r="Y140" s="808"/>
      <c r="Z140" s="808"/>
      <c r="AA140" s="808"/>
      <c r="AB140" s="808"/>
      <c r="AC140" s="808"/>
      <c r="AD140" s="808"/>
      <c r="AE140" s="808"/>
      <c r="AF140" s="808"/>
      <c r="AG140" s="808"/>
      <c r="AH140" s="808"/>
      <c r="AI140" s="808"/>
      <c r="AJ140" s="808"/>
      <c r="AK140" s="808"/>
      <c r="AL140" s="808"/>
      <c r="AM140" s="808"/>
      <c r="AN140" s="808"/>
      <c r="AO140" s="808"/>
      <c r="AP140" s="808"/>
      <c r="AQ140" s="808"/>
      <c r="AR140" s="808"/>
      <c r="AS140" s="808"/>
      <c r="AT140" s="808"/>
      <c r="AU140" s="808"/>
      <c r="AV140" s="808"/>
      <c r="AW140" s="808"/>
      <c r="AX140" s="808"/>
      <c r="AY140" s="808"/>
      <c r="AZ140" s="808"/>
      <c r="BA140" s="808"/>
      <c r="BB140" s="808"/>
      <c r="BC140" s="808"/>
      <c r="BD140" s="808"/>
      <c r="BE140" s="808"/>
      <c r="BF140" s="808"/>
      <c r="BG140" s="808"/>
      <c r="BH140" s="808"/>
      <c r="BI140" s="808"/>
      <c r="BJ140" s="808"/>
      <c r="BK140" s="808"/>
      <c r="BL140" s="808"/>
      <c r="BM140" s="808"/>
      <c r="BN140" s="808"/>
      <c r="BO140" s="808"/>
      <c r="BP140" s="808"/>
      <c r="BQ140" s="808"/>
      <c r="BR140" s="808"/>
      <c r="BS140" s="808"/>
      <c r="BT140" s="808"/>
      <c r="BU140" s="808"/>
      <c r="BV140" s="808"/>
      <c r="BW140" s="808"/>
      <c r="BX140" s="808"/>
      <c r="BY140" s="808"/>
      <c r="BZ140" s="808"/>
      <c r="CA140" s="808"/>
      <c r="CB140" s="808"/>
      <c r="CC140" s="808"/>
      <c r="CD140" s="808"/>
      <c r="CE140" s="808"/>
      <c r="CF140" s="808"/>
      <c r="CG140" s="808"/>
      <c r="CH140" s="808"/>
      <c r="CI140" s="808"/>
      <c r="CJ140" s="808"/>
      <c r="CK140" s="808"/>
      <c r="CL140" s="808"/>
      <c r="CM140" s="808"/>
      <c r="CN140" s="808"/>
      <c r="CO140" s="808"/>
      <c r="CP140" s="808"/>
      <c r="CQ140" s="808"/>
      <c r="CR140" s="808"/>
      <c r="CS140" s="808"/>
      <c r="CT140" s="808"/>
      <c r="CU140" s="808"/>
      <c r="CV140" s="808"/>
      <c r="CW140" s="808"/>
      <c r="CX140" s="808"/>
      <c r="CY140" s="808"/>
      <c r="CZ140" s="808"/>
      <c r="DA140" s="808"/>
      <c r="DB140" s="808"/>
      <c r="DC140" s="808"/>
      <c r="DD140" s="808"/>
      <c r="DE140" s="808"/>
      <c r="DF140" s="808"/>
      <c r="DG140" s="808"/>
      <c r="DH140" s="808"/>
      <c r="DI140" s="808"/>
      <c r="DJ140" s="808"/>
      <c r="DK140" s="808"/>
      <c r="DL140" s="808"/>
      <c r="DM140" s="808"/>
      <c r="DN140" s="808"/>
      <c r="DO140" s="808"/>
      <c r="DP140" s="808"/>
    </row>
    <row r="141" spans="1:120" hidden="1">
      <c r="A141" s="821"/>
      <c r="B141" s="811" t="s">
        <v>79</v>
      </c>
      <c r="C141" s="811" t="s">
        <v>5</v>
      </c>
      <c r="D141" s="812" t="s">
        <v>1267</v>
      </c>
      <c r="E141" s="812"/>
      <c r="F141" s="812"/>
      <c r="G141" s="812"/>
      <c r="H141" s="812"/>
      <c r="I141" s="812"/>
      <c r="K141" s="808"/>
      <c r="M141" s="808"/>
      <c r="N141" s="808"/>
      <c r="O141" s="808"/>
      <c r="P141" s="808"/>
      <c r="Q141" s="808"/>
      <c r="R141" s="808"/>
      <c r="S141" s="808"/>
      <c r="T141" s="808"/>
      <c r="U141" s="808"/>
      <c r="V141" s="808"/>
      <c r="W141" s="808"/>
      <c r="X141" s="808"/>
      <c r="Y141" s="808"/>
      <c r="Z141" s="808"/>
      <c r="AA141" s="808"/>
      <c r="AB141" s="808"/>
      <c r="AC141" s="808"/>
      <c r="AD141" s="808"/>
      <c r="AE141" s="808"/>
      <c r="AF141" s="808"/>
      <c r="AG141" s="808"/>
      <c r="AH141" s="808"/>
      <c r="AI141" s="808"/>
      <c r="AJ141" s="808"/>
      <c r="AK141" s="808"/>
      <c r="AL141" s="808"/>
      <c r="AM141" s="808"/>
      <c r="AN141" s="808"/>
      <c r="AO141" s="808"/>
      <c r="AP141" s="808"/>
      <c r="AQ141" s="808"/>
      <c r="AR141" s="808"/>
      <c r="AS141" s="808"/>
      <c r="AT141" s="808"/>
      <c r="AU141" s="808"/>
      <c r="AV141" s="808"/>
      <c r="AW141" s="808"/>
      <c r="AX141" s="808"/>
      <c r="AY141" s="808"/>
      <c r="AZ141" s="808"/>
      <c r="BA141" s="808"/>
      <c r="BB141" s="808"/>
      <c r="BC141" s="808"/>
      <c r="BD141" s="808"/>
      <c r="BE141" s="808"/>
      <c r="BF141" s="808"/>
      <c r="BG141" s="808"/>
      <c r="BH141" s="808"/>
      <c r="BI141" s="808"/>
      <c r="BJ141" s="808"/>
      <c r="BK141" s="808"/>
      <c r="BL141" s="808"/>
      <c r="BM141" s="808"/>
      <c r="BN141" s="808"/>
      <c r="BO141" s="808"/>
      <c r="BP141" s="808"/>
      <c r="BQ141" s="808"/>
      <c r="BR141" s="808"/>
      <c r="BS141" s="808"/>
      <c r="BT141" s="808"/>
      <c r="BU141" s="808"/>
      <c r="BV141" s="808"/>
      <c r="BW141" s="808"/>
      <c r="BX141" s="808"/>
      <c r="BY141" s="808"/>
      <c r="BZ141" s="808"/>
      <c r="CA141" s="808"/>
      <c r="CB141" s="808"/>
      <c r="CC141" s="808"/>
      <c r="CD141" s="808"/>
      <c r="CE141" s="808"/>
      <c r="CF141" s="808"/>
      <c r="CG141" s="808"/>
      <c r="CH141" s="808"/>
      <c r="CI141" s="808"/>
      <c r="CJ141" s="808"/>
      <c r="CK141" s="808"/>
      <c r="CL141" s="808"/>
      <c r="CM141" s="808"/>
      <c r="CN141" s="808"/>
      <c r="CO141" s="808"/>
      <c r="CP141" s="808"/>
      <c r="CQ141" s="808"/>
      <c r="CR141" s="808"/>
      <c r="CS141" s="808"/>
      <c r="CT141" s="808"/>
      <c r="CU141" s="808"/>
      <c r="CV141" s="808"/>
      <c r="CW141" s="808"/>
      <c r="CX141" s="808"/>
      <c r="CY141" s="808"/>
      <c r="CZ141" s="808"/>
      <c r="DA141" s="808"/>
      <c r="DB141" s="808"/>
      <c r="DC141" s="808"/>
      <c r="DD141" s="808"/>
      <c r="DE141" s="808"/>
      <c r="DF141" s="808"/>
      <c r="DG141" s="808"/>
      <c r="DH141" s="808"/>
      <c r="DI141" s="808"/>
      <c r="DJ141" s="808"/>
      <c r="DK141" s="808"/>
      <c r="DL141" s="808"/>
      <c r="DM141" s="808"/>
      <c r="DN141" s="808"/>
      <c r="DO141" s="808"/>
      <c r="DP141" s="808"/>
    </row>
    <row r="142" spans="1:120" hidden="1">
      <c r="A142" s="821"/>
      <c r="B142" s="813" t="s">
        <v>947</v>
      </c>
      <c r="C142" s="814"/>
      <c r="D142" s="815" t="s">
        <v>1260</v>
      </c>
      <c r="E142" s="815"/>
      <c r="F142" s="815"/>
      <c r="G142" s="815"/>
      <c r="H142" s="815"/>
      <c r="I142" s="815"/>
      <c r="K142" s="808"/>
      <c r="M142" s="808"/>
      <c r="N142" s="808"/>
      <c r="O142" s="808"/>
      <c r="P142" s="808"/>
      <c r="Q142" s="808"/>
      <c r="R142" s="808"/>
      <c r="S142" s="808"/>
      <c r="T142" s="808"/>
      <c r="U142" s="808"/>
      <c r="V142" s="808"/>
      <c r="W142" s="808"/>
      <c r="X142" s="808"/>
      <c r="Y142" s="808"/>
      <c r="Z142" s="808"/>
      <c r="AA142" s="808"/>
      <c r="AB142" s="808"/>
      <c r="AC142" s="808"/>
      <c r="AD142" s="808"/>
      <c r="AE142" s="808"/>
      <c r="AF142" s="808"/>
      <c r="AG142" s="808"/>
      <c r="AH142" s="808"/>
      <c r="AI142" s="808"/>
      <c r="AJ142" s="808"/>
      <c r="AK142" s="808"/>
      <c r="AL142" s="808"/>
      <c r="AM142" s="808"/>
      <c r="AN142" s="808"/>
      <c r="AO142" s="808"/>
      <c r="AP142" s="808"/>
      <c r="AQ142" s="808"/>
      <c r="AR142" s="808"/>
      <c r="AS142" s="808"/>
      <c r="AT142" s="808"/>
      <c r="AU142" s="808"/>
      <c r="AV142" s="808"/>
      <c r="AW142" s="808"/>
      <c r="AX142" s="808"/>
      <c r="AY142" s="808"/>
      <c r="AZ142" s="808"/>
      <c r="BA142" s="808"/>
      <c r="BB142" s="808"/>
      <c r="BC142" s="808"/>
      <c r="BD142" s="808"/>
      <c r="BE142" s="808"/>
      <c r="BF142" s="808"/>
      <c r="BG142" s="808"/>
      <c r="BH142" s="808"/>
      <c r="BI142" s="808"/>
      <c r="BJ142" s="808"/>
      <c r="BK142" s="808"/>
      <c r="BL142" s="808"/>
      <c r="BM142" s="808"/>
      <c r="BN142" s="808"/>
      <c r="BO142" s="808"/>
      <c r="BP142" s="808"/>
      <c r="BQ142" s="808"/>
      <c r="BR142" s="808"/>
      <c r="BS142" s="808"/>
      <c r="BT142" s="808"/>
      <c r="BU142" s="808"/>
      <c r="BV142" s="808"/>
      <c r="BW142" s="808"/>
      <c r="BX142" s="808"/>
      <c r="BY142" s="808"/>
      <c r="BZ142" s="808"/>
      <c r="CA142" s="808"/>
      <c r="CB142" s="808"/>
      <c r="CC142" s="808"/>
      <c r="CD142" s="808"/>
      <c r="CE142" s="808"/>
      <c r="CF142" s="808"/>
      <c r="CG142" s="808"/>
      <c r="CH142" s="808"/>
      <c r="CI142" s="808"/>
      <c r="CJ142" s="808"/>
      <c r="CK142" s="808"/>
      <c r="CL142" s="808"/>
      <c r="CM142" s="808"/>
      <c r="CN142" s="808"/>
      <c r="CO142" s="808"/>
      <c r="CP142" s="808"/>
      <c r="CQ142" s="808"/>
      <c r="CR142" s="808"/>
      <c r="CS142" s="808"/>
      <c r="CT142" s="808"/>
      <c r="CU142" s="808"/>
      <c r="CV142" s="808"/>
      <c r="CW142" s="808"/>
      <c r="CX142" s="808"/>
      <c r="CY142" s="808"/>
      <c r="CZ142" s="808"/>
      <c r="DA142" s="808"/>
      <c r="DB142" s="808"/>
      <c r="DC142" s="808"/>
      <c r="DD142" s="808"/>
      <c r="DE142" s="808"/>
      <c r="DF142" s="808"/>
      <c r="DG142" s="808"/>
      <c r="DH142" s="808"/>
      <c r="DI142" s="808"/>
      <c r="DJ142" s="808"/>
      <c r="DK142" s="808"/>
      <c r="DL142" s="808"/>
      <c r="DM142" s="808"/>
      <c r="DN142" s="808"/>
      <c r="DO142" s="808"/>
      <c r="DP142" s="808"/>
    </row>
    <row r="143" spans="1:120" hidden="1">
      <c r="A143" s="821"/>
      <c r="B143" s="813" t="s">
        <v>950</v>
      </c>
      <c r="C143" s="816" t="s">
        <v>82</v>
      </c>
      <c r="D143" s="815" t="s">
        <v>1260</v>
      </c>
      <c r="E143" s="815"/>
      <c r="F143" s="815"/>
      <c r="G143" s="815"/>
      <c r="H143" s="815"/>
      <c r="I143" s="815"/>
      <c r="K143" s="808"/>
      <c r="M143" s="808"/>
      <c r="N143" s="808"/>
      <c r="O143" s="808"/>
      <c r="P143" s="808"/>
      <c r="Q143" s="808"/>
      <c r="R143" s="808"/>
      <c r="S143" s="808"/>
      <c r="T143" s="808"/>
      <c r="U143" s="808"/>
      <c r="V143" s="808"/>
      <c r="W143" s="808"/>
      <c r="X143" s="808"/>
      <c r="Y143" s="808"/>
      <c r="Z143" s="808"/>
      <c r="AA143" s="808"/>
      <c r="AB143" s="808"/>
      <c r="AC143" s="808"/>
      <c r="AD143" s="808"/>
      <c r="AE143" s="808"/>
      <c r="AF143" s="808"/>
      <c r="AG143" s="808"/>
      <c r="AH143" s="808"/>
      <c r="AI143" s="808"/>
      <c r="AJ143" s="808"/>
      <c r="AK143" s="808"/>
      <c r="AL143" s="808"/>
      <c r="AM143" s="808"/>
      <c r="AN143" s="808"/>
      <c r="AO143" s="808"/>
      <c r="AP143" s="808"/>
      <c r="AQ143" s="808"/>
      <c r="AR143" s="808"/>
      <c r="AS143" s="808"/>
      <c r="AT143" s="808"/>
      <c r="AU143" s="808"/>
      <c r="AV143" s="808"/>
      <c r="AW143" s="808"/>
      <c r="AX143" s="808"/>
      <c r="AY143" s="808"/>
      <c r="AZ143" s="808"/>
      <c r="BA143" s="808"/>
      <c r="BB143" s="808"/>
      <c r="BC143" s="808"/>
      <c r="BD143" s="808"/>
      <c r="BE143" s="808"/>
      <c r="BF143" s="808"/>
      <c r="BG143" s="808"/>
      <c r="BH143" s="808"/>
      <c r="BI143" s="808"/>
      <c r="BJ143" s="808"/>
      <c r="BK143" s="808"/>
      <c r="BL143" s="808"/>
      <c r="BM143" s="808"/>
      <c r="BN143" s="808"/>
      <c r="BO143" s="808"/>
      <c r="BP143" s="808"/>
      <c r="BQ143" s="808"/>
      <c r="BR143" s="808"/>
      <c r="BS143" s="808"/>
      <c r="BT143" s="808"/>
      <c r="BU143" s="808"/>
      <c r="BV143" s="808"/>
      <c r="BW143" s="808"/>
      <c r="BX143" s="808"/>
      <c r="BY143" s="808"/>
      <c r="BZ143" s="808"/>
      <c r="CA143" s="808"/>
      <c r="CB143" s="808"/>
      <c r="CC143" s="808"/>
      <c r="CD143" s="808"/>
      <c r="CE143" s="808"/>
      <c r="CF143" s="808"/>
      <c r="CG143" s="808"/>
      <c r="CH143" s="808"/>
      <c r="CI143" s="808"/>
      <c r="CJ143" s="808"/>
      <c r="CK143" s="808"/>
      <c r="CL143" s="808"/>
      <c r="CM143" s="808"/>
      <c r="CN143" s="808"/>
      <c r="CO143" s="808"/>
      <c r="CP143" s="808"/>
      <c r="CQ143" s="808"/>
      <c r="CR143" s="808"/>
      <c r="CS143" s="808"/>
      <c r="CT143" s="808"/>
      <c r="CU143" s="808"/>
      <c r="CV143" s="808"/>
      <c r="CW143" s="808"/>
      <c r="CX143" s="808"/>
      <c r="CY143" s="808"/>
      <c r="CZ143" s="808"/>
      <c r="DA143" s="808"/>
      <c r="DB143" s="808"/>
      <c r="DC143" s="808"/>
      <c r="DD143" s="808"/>
      <c r="DE143" s="808"/>
      <c r="DF143" s="808"/>
      <c r="DG143" s="808"/>
      <c r="DH143" s="808"/>
      <c r="DI143" s="808"/>
      <c r="DJ143" s="808"/>
      <c r="DK143" s="808"/>
      <c r="DL143" s="808"/>
      <c r="DM143" s="808"/>
      <c r="DN143" s="808"/>
      <c r="DO143" s="808"/>
      <c r="DP143" s="808"/>
    </row>
    <row r="144" spans="1:120" hidden="1">
      <c r="A144" s="821"/>
      <c r="B144" s="809" t="s">
        <v>1204</v>
      </c>
      <c r="C144" s="808"/>
      <c r="K144" s="808"/>
      <c r="M144" s="808"/>
      <c r="N144" s="808"/>
      <c r="O144" s="808"/>
      <c r="P144" s="808"/>
      <c r="Q144" s="808"/>
      <c r="R144" s="808"/>
      <c r="S144" s="808"/>
      <c r="T144" s="808"/>
      <c r="U144" s="808"/>
      <c r="V144" s="808"/>
      <c r="W144" s="808"/>
      <c r="X144" s="808"/>
      <c r="Y144" s="808"/>
      <c r="Z144" s="808"/>
      <c r="AA144" s="808"/>
      <c r="AB144" s="808"/>
      <c r="AC144" s="808"/>
      <c r="AD144" s="808"/>
      <c r="AE144" s="808"/>
      <c r="AF144" s="808"/>
      <c r="AG144" s="808"/>
      <c r="AH144" s="808"/>
      <c r="AI144" s="808"/>
      <c r="AJ144" s="808"/>
      <c r="AK144" s="808"/>
      <c r="AL144" s="808"/>
      <c r="AM144" s="808"/>
      <c r="AN144" s="808"/>
      <c r="AO144" s="808"/>
      <c r="AP144" s="808"/>
      <c r="AQ144" s="808"/>
      <c r="AR144" s="808"/>
      <c r="AS144" s="808"/>
      <c r="AT144" s="808"/>
      <c r="AU144" s="808"/>
      <c r="AV144" s="808"/>
      <c r="AW144" s="808"/>
      <c r="AX144" s="808"/>
      <c r="AY144" s="808"/>
      <c r="AZ144" s="808"/>
      <c r="BA144" s="808"/>
      <c r="BB144" s="808"/>
      <c r="BC144" s="808"/>
      <c r="BD144" s="808"/>
      <c r="BE144" s="808"/>
      <c r="BF144" s="808"/>
      <c r="BG144" s="808"/>
      <c r="BH144" s="808"/>
      <c r="BI144" s="808"/>
      <c r="BJ144" s="808"/>
      <c r="BK144" s="808"/>
      <c r="BL144" s="808"/>
      <c r="BM144" s="808"/>
      <c r="BN144" s="808"/>
      <c r="BO144" s="808"/>
      <c r="BP144" s="808"/>
      <c r="BQ144" s="808"/>
      <c r="BR144" s="808"/>
      <c r="BS144" s="808"/>
      <c r="BT144" s="808"/>
      <c r="BU144" s="808"/>
      <c r="BV144" s="808"/>
      <c r="BW144" s="808"/>
      <c r="BX144" s="808"/>
      <c r="BY144" s="808"/>
      <c r="BZ144" s="808"/>
      <c r="CA144" s="808"/>
      <c r="CB144" s="808"/>
      <c r="CC144" s="808"/>
      <c r="CD144" s="808"/>
      <c r="CE144" s="808"/>
      <c r="CF144" s="808"/>
      <c r="CG144" s="808"/>
      <c r="CH144" s="808"/>
      <c r="CI144" s="808"/>
      <c r="CJ144" s="808"/>
      <c r="CK144" s="808"/>
      <c r="CL144" s="808"/>
      <c r="CM144" s="808"/>
      <c r="CN144" s="808"/>
      <c r="CO144" s="808"/>
      <c r="CP144" s="808"/>
      <c r="CQ144" s="808"/>
      <c r="CR144" s="808"/>
      <c r="CS144" s="808"/>
      <c r="CT144" s="808"/>
      <c r="CU144" s="808"/>
      <c r="CV144" s="808"/>
      <c r="CW144" s="808"/>
      <c r="CX144" s="808"/>
      <c r="CY144" s="808"/>
      <c r="CZ144" s="808"/>
      <c r="DA144" s="808"/>
      <c r="DB144" s="808"/>
      <c r="DC144" s="808"/>
      <c r="DD144" s="808"/>
      <c r="DE144" s="808"/>
      <c r="DF144" s="808"/>
      <c r="DG144" s="808"/>
      <c r="DH144" s="808"/>
      <c r="DI144" s="808"/>
      <c r="DJ144" s="808"/>
      <c r="DK144" s="808"/>
      <c r="DL144" s="808"/>
      <c r="DM144" s="808"/>
      <c r="DN144" s="808"/>
      <c r="DO144" s="808"/>
      <c r="DP144" s="808"/>
    </row>
    <row r="145" spans="1:120">
      <c r="A145" s="821"/>
      <c r="B145" s="809" t="s">
        <v>1268</v>
      </c>
      <c r="C145" s="808"/>
      <c r="K145" s="825"/>
      <c r="L145" s="214">
        <f>+L138-K137</f>
        <v>1044246.0380566013</v>
      </c>
      <c r="M145" s="808"/>
      <c r="N145" s="808"/>
      <c r="O145" s="808"/>
      <c r="P145" s="808"/>
      <c r="Q145" s="808"/>
      <c r="R145" s="808"/>
      <c r="S145" s="808"/>
      <c r="T145" s="808"/>
      <c r="U145" s="808"/>
      <c r="V145" s="808"/>
      <c r="W145" s="808"/>
      <c r="X145" s="808"/>
      <c r="Y145" s="808"/>
      <c r="Z145" s="808"/>
      <c r="AA145" s="808"/>
      <c r="AB145" s="808"/>
      <c r="AC145" s="808"/>
      <c r="AD145" s="808"/>
      <c r="AE145" s="808"/>
      <c r="AF145" s="808"/>
      <c r="AG145" s="808"/>
      <c r="AH145" s="808"/>
      <c r="AI145" s="808"/>
      <c r="AJ145" s="808"/>
      <c r="AK145" s="808"/>
      <c r="AL145" s="808"/>
      <c r="AM145" s="808"/>
      <c r="AN145" s="808"/>
      <c r="AO145" s="808"/>
      <c r="AP145" s="808"/>
      <c r="AQ145" s="808"/>
      <c r="AR145" s="808"/>
      <c r="AS145" s="808"/>
      <c r="AT145" s="808"/>
      <c r="AU145" s="808"/>
      <c r="AV145" s="808"/>
      <c r="AW145" s="808"/>
      <c r="AX145" s="808"/>
      <c r="AY145" s="808"/>
      <c r="AZ145" s="808"/>
      <c r="BA145" s="808"/>
      <c r="BB145" s="808"/>
      <c r="BC145" s="808"/>
      <c r="BD145" s="808"/>
      <c r="BE145" s="808"/>
      <c r="BF145" s="808"/>
      <c r="BG145" s="808"/>
      <c r="BH145" s="808"/>
      <c r="BI145" s="808"/>
      <c r="BJ145" s="808"/>
      <c r="BK145" s="808"/>
      <c r="BL145" s="808"/>
      <c r="BM145" s="808"/>
      <c r="BN145" s="808"/>
      <c r="BO145" s="808"/>
      <c r="BP145" s="808"/>
      <c r="BQ145" s="808"/>
      <c r="BR145" s="808"/>
      <c r="BS145" s="808"/>
      <c r="BT145" s="808"/>
      <c r="BU145" s="808"/>
      <c r="BV145" s="808"/>
      <c r="BW145" s="808"/>
      <c r="BX145" s="808"/>
      <c r="BY145" s="808"/>
      <c r="BZ145" s="808"/>
      <c r="CA145" s="808"/>
      <c r="CB145" s="808"/>
      <c r="CC145" s="808"/>
      <c r="CD145" s="808"/>
      <c r="CE145" s="808"/>
      <c r="CF145" s="808"/>
      <c r="CG145" s="808"/>
      <c r="CH145" s="808"/>
      <c r="CI145" s="808"/>
      <c r="CJ145" s="808"/>
      <c r="CK145" s="808"/>
      <c r="CL145" s="808"/>
      <c r="CM145" s="808"/>
      <c r="CN145" s="808"/>
      <c r="CO145" s="808"/>
      <c r="CP145" s="808"/>
      <c r="CQ145" s="808"/>
      <c r="CR145" s="808"/>
      <c r="CS145" s="808"/>
      <c r="CT145" s="808"/>
      <c r="CU145" s="808"/>
      <c r="CV145" s="808"/>
      <c r="CW145" s="808"/>
      <c r="CX145" s="808"/>
      <c r="CY145" s="808"/>
      <c r="CZ145" s="808"/>
      <c r="DA145" s="808"/>
      <c r="DB145" s="808"/>
      <c r="DC145" s="808"/>
      <c r="DD145" s="808"/>
      <c r="DE145" s="808"/>
      <c r="DF145" s="808"/>
      <c r="DG145" s="808"/>
      <c r="DH145" s="808"/>
      <c r="DI145" s="808"/>
      <c r="DJ145" s="808"/>
      <c r="DK145" s="808"/>
      <c r="DL145" s="808"/>
      <c r="DM145" s="808"/>
      <c r="DN145" s="808"/>
      <c r="DO145" s="808"/>
      <c r="DP145" s="808"/>
    </row>
    <row r="146" spans="1:120">
      <c r="A146" s="821"/>
      <c r="B146" s="807"/>
      <c r="C146" s="808"/>
      <c r="G146" s="810" t="s">
        <v>1203</v>
      </c>
      <c r="K146" s="825"/>
      <c r="M146" s="808"/>
      <c r="N146" s="808"/>
      <c r="O146" s="808"/>
      <c r="P146" s="808"/>
      <c r="Q146" s="808"/>
      <c r="R146" s="808"/>
      <c r="S146" s="808"/>
      <c r="T146" s="808"/>
      <c r="U146" s="808"/>
      <c r="V146" s="808"/>
      <c r="W146" s="808"/>
      <c r="X146" s="808"/>
      <c r="Y146" s="808"/>
      <c r="Z146" s="808"/>
      <c r="AA146" s="808"/>
      <c r="AB146" s="808"/>
      <c r="AC146" s="808"/>
      <c r="AD146" s="808"/>
      <c r="AE146" s="808"/>
      <c r="AF146" s="808"/>
      <c r="AG146" s="808"/>
      <c r="AH146" s="808"/>
      <c r="AI146" s="808"/>
      <c r="AJ146" s="808"/>
      <c r="AK146" s="808"/>
      <c r="AL146" s="808"/>
      <c r="AM146" s="808"/>
      <c r="AN146" s="808"/>
      <c r="AO146" s="808"/>
      <c r="AP146" s="808"/>
      <c r="AQ146" s="808"/>
      <c r="AR146" s="808"/>
      <c r="AS146" s="808"/>
      <c r="AT146" s="808"/>
      <c r="AU146" s="808"/>
      <c r="AV146" s="808"/>
      <c r="AW146" s="808"/>
      <c r="AX146" s="808"/>
      <c r="AY146" s="808"/>
      <c r="AZ146" s="808"/>
      <c r="BA146" s="808"/>
      <c r="BB146" s="808"/>
      <c r="BC146" s="808"/>
      <c r="BD146" s="808"/>
      <c r="BE146" s="808"/>
      <c r="BF146" s="808"/>
      <c r="BG146" s="808"/>
      <c r="BH146" s="808"/>
      <c r="BI146" s="808"/>
      <c r="BJ146" s="808"/>
      <c r="BK146" s="808"/>
      <c r="BL146" s="808"/>
      <c r="BM146" s="808"/>
      <c r="BN146" s="808"/>
      <c r="BO146" s="808"/>
      <c r="BP146" s="808"/>
      <c r="BQ146" s="808"/>
      <c r="BR146" s="808"/>
      <c r="BS146" s="808"/>
      <c r="BT146" s="808"/>
      <c r="BU146" s="808"/>
      <c r="BV146" s="808"/>
      <c r="BW146" s="808"/>
      <c r="BX146" s="808"/>
      <c r="BY146" s="808"/>
      <c r="BZ146" s="808"/>
      <c r="CA146" s="808"/>
      <c r="CB146" s="808"/>
      <c r="CC146" s="808"/>
      <c r="CD146" s="808"/>
      <c r="CE146" s="808"/>
      <c r="CF146" s="808"/>
      <c r="CG146" s="808"/>
      <c r="CH146" s="808"/>
      <c r="CI146" s="808"/>
      <c r="CJ146" s="808"/>
      <c r="CK146" s="808"/>
      <c r="CL146" s="808"/>
      <c r="CM146" s="808"/>
      <c r="CN146" s="808"/>
      <c r="CO146" s="808"/>
      <c r="CP146" s="808"/>
      <c r="CQ146" s="808"/>
      <c r="CR146" s="808"/>
      <c r="CS146" s="808"/>
      <c r="CT146" s="808"/>
      <c r="CU146" s="808"/>
      <c r="CV146" s="808"/>
      <c r="CW146" s="808"/>
      <c r="CX146" s="808"/>
      <c r="CY146" s="808"/>
      <c r="CZ146" s="808"/>
      <c r="DA146" s="808"/>
      <c r="DB146" s="808"/>
      <c r="DC146" s="808"/>
      <c r="DD146" s="808"/>
      <c r="DE146" s="808"/>
      <c r="DF146" s="808"/>
      <c r="DG146" s="808"/>
      <c r="DH146" s="808"/>
      <c r="DI146" s="808"/>
      <c r="DJ146" s="808"/>
      <c r="DK146" s="808"/>
      <c r="DL146" s="808"/>
      <c r="DM146" s="808"/>
      <c r="DN146" s="808"/>
      <c r="DO146" s="808"/>
      <c r="DP146" s="808"/>
    </row>
    <row r="147" spans="1:120" ht="26.4">
      <c r="A147" s="821"/>
      <c r="B147" s="811" t="s">
        <v>79</v>
      </c>
      <c r="C147" s="811" t="s">
        <v>5</v>
      </c>
      <c r="D147" s="812" t="s">
        <v>303</v>
      </c>
      <c r="E147" s="812" t="s">
        <v>304</v>
      </c>
      <c r="F147" s="812" t="s">
        <v>303</v>
      </c>
      <c r="G147" s="812" t="s">
        <v>304</v>
      </c>
      <c r="K147" s="808"/>
      <c r="M147" s="808"/>
      <c r="N147" s="808"/>
      <c r="O147" s="808"/>
      <c r="P147" s="808"/>
      <c r="Q147" s="808"/>
      <c r="R147" s="808"/>
      <c r="S147" s="808"/>
      <c r="T147" s="808"/>
      <c r="U147" s="808"/>
      <c r="V147" s="808"/>
      <c r="W147" s="808"/>
      <c r="X147" s="808"/>
      <c r="Y147" s="808"/>
      <c r="Z147" s="808"/>
      <c r="AA147" s="808"/>
      <c r="AB147" s="808"/>
      <c r="AC147" s="808"/>
      <c r="AD147" s="808"/>
      <c r="AE147" s="808"/>
      <c r="AF147" s="808"/>
      <c r="AG147" s="808"/>
      <c r="AH147" s="808"/>
      <c r="AI147" s="808"/>
      <c r="AJ147" s="808"/>
      <c r="AK147" s="808"/>
      <c r="AL147" s="808"/>
      <c r="AM147" s="808"/>
      <c r="AN147" s="808"/>
      <c r="AO147" s="808"/>
      <c r="AP147" s="808"/>
      <c r="AQ147" s="808"/>
      <c r="AR147" s="808"/>
      <c r="AS147" s="808"/>
      <c r="AT147" s="808"/>
      <c r="AU147" s="808"/>
      <c r="AV147" s="808"/>
      <c r="AW147" s="808"/>
      <c r="AX147" s="808"/>
      <c r="AY147" s="808"/>
      <c r="AZ147" s="808"/>
      <c r="BA147" s="808"/>
      <c r="BB147" s="808"/>
      <c r="BC147" s="808"/>
      <c r="BD147" s="808"/>
      <c r="BE147" s="808"/>
      <c r="BF147" s="808"/>
      <c r="BG147" s="808"/>
      <c r="BH147" s="808"/>
      <c r="BI147" s="808"/>
      <c r="BJ147" s="808"/>
      <c r="BK147" s="808"/>
      <c r="BL147" s="808"/>
      <c r="BM147" s="808"/>
      <c r="BN147" s="808"/>
      <c r="BO147" s="808"/>
      <c r="BP147" s="808"/>
      <c r="BQ147" s="808"/>
      <c r="BR147" s="808"/>
      <c r="BS147" s="808"/>
      <c r="BT147" s="808"/>
      <c r="BU147" s="808"/>
      <c r="BV147" s="808"/>
      <c r="BW147" s="808"/>
      <c r="BX147" s="808"/>
      <c r="BY147" s="808"/>
      <c r="BZ147" s="808"/>
      <c r="CA147" s="808"/>
      <c r="CB147" s="808"/>
      <c r="CC147" s="808"/>
      <c r="CD147" s="808"/>
      <c r="CE147" s="808"/>
      <c r="CF147" s="808"/>
      <c r="CG147" s="808"/>
      <c r="CH147" s="808"/>
      <c r="CI147" s="808"/>
      <c r="CJ147" s="808"/>
      <c r="CK147" s="808"/>
      <c r="CL147" s="808"/>
      <c r="CM147" s="808"/>
      <c r="CN147" s="808"/>
      <c r="CO147" s="808"/>
      <c r="CP147" s="808"/>
      <c r="CQ147" s="808"/>
      <c r="CR147" s="808"/>
      <c r="CS147" s="808"/>
      <c r="CT147" s="808"/>
      <c r="CU147" s="808"/>
      <c r="CV147" s="808"/>
      <c r="CW147" s="808"/>
      <c r="CX147" s="808"/>
      <c r="CY147" s="808"/>
      <c r="CZ147" s="808"/>
      <c r="DA147" s="808"/>
      <c r="DB147" s="808"/>
      <c r="DC147" s="808"/>
      <c r="DD147" s="808"/>
      <c r="DE147" s="808"/>
      <c r="DF147" s="808"/>
      <c r="DG147" s="808"/>
      <c r="DH147" s="808"/>
      <c r="DI147" s="808"/>
      <c r="DJ147" s="808"/>
      <c r="DK147" s="808"/>
      <c r="DL147" s="808"/>
      <c r="DM147" s="808"/>
      <c r="DN147" s="808"/>
      <c r="DO147" s="808"/>
      <c r="DP147" s="808"/>
    </row>
    <row r="148" spans="1:120">
      <c r="A148" s="821"/>
      <c r="B148" s="813" t="s">
        <v>947</v>
      </c>
      <c r="C148" s="814" t="s">
        <v>1269</v>
      </c>
      <c r="D148" s="815" t="s">
        <v>1260</v>
      </c>
      <c r="E148" s="815" t="s">
        <v>1270</v>
      </c>
      <c r="F148" s="815" t="s">
        <v>1260</v>
      </c>
      <c r="G148" s="815">
        <f>+balance!D24/1000</f>
        <v>0</v>
      </c>
      <c r="K148" s="808"/>
      <c r="M148" s="808"/>
      <c r="N148" s="808"/>
      <c r="O148" s="808"/>
      <c r="P148" s="808"/>
      <c r="Q148" s="808"/>
      <c r="R148" s="808"/>
      <c r="S148" s="808"/>
      <c r="T148" s="808"/>
      <c r="U148" s="808"/>
      <c r="V148" s="808"/>
      <c r="W148" s="808"/>
      <c r="X148" s="808"/>
      <c r="Y148" s="808"/>
      <c r="Z148" s="808"/>
      <c r="AA148" s="808"/>
      <c r="AB148" s="808"/>
      <c r="AC148" s="808"/>
      <c r="AD148" s="808"/>
      <c r="AE148" s="808"/>
      <c r="AF148" s="808"/>
      <c r="AG148" s="808"/>
      <c r="AH148" s="808"/>
      <c r="AI148" s="808"/>
      <c r="AJ148" s="808"/>
      <c r="AK148" s="808"/>
      <c r="AL148" s="808"/>
      <c r="AM148" s="808"/>
      <c r="AN148" s="808"/>
      <c r="AO148" s="808"/>
      <c r="AP148" s="808"/>
      <c r="AQ148" s="808"/>
      <c r="AR148" s="808"/>
      <c r="AS148" s="808"/>
      <c r="AT148" s="808"/>
      <c r="AU148" s="808"/>
      <c r="AV148" s="808"/>
      <c r="AW148" s="808"/>
      <c r="AX148" s="808"/>
      <c r="AY148" s="808"/>
      <c r="AZ148" s="808"/>
      <c r="BA148" s="808"/>
      <c r="BB148" s="808"/>
      <c r="BC148" s="808"/>
      <c r="BD148" s="808"/>
      <c r="BE148" s="808"/>
      <c r="BF148" s="808"/>
      <c r="BG148" s="808"/>
      <c r="BH148" s="808"/>
      <c r="BI148" s="808"/>
      <c r="BJ148" s="808"/>
      <c r="BK148" s="808"/>
      <c r="BL148" s="808"/>
      <c r="BM148" s="808"/>
      <c r="BN148" s="808"/>
      <c r="BO148" s="808"/>
      <c r="BP148" s="808"/>
      <c r="BQ148" s="808"/>
      <c r="BR148" s="808"/>
      <c r="BS148" s="808"/>
      <c r="BT148" s="808"/>
      <c r="BU148" s="808"/>
      <c r="BV148" s="808"/>
      <c r="BW148" s="808"/>
      <c r="BX148" s="808"/>
      <c r="BY148" s="808"/>
      <c r="BZ148" s="808"/>
      <c r="CA148" s="808"/>
      <c r="CB148" s="808"/>
      <c r="CC148" s="808"/>
      <c r="CD148" s="808"/>
      <c r="CE148" s="808"/>
      <c r="CF148" s="808"/>
      <c r="CG148" s="808"/>
      <c r="CH148" s="808"/>
      <c r="CI148" s="808"/>
      <c r="CJ148" s="808"/>
      <c r="CK148" s="808"/>
      <c r="CL148" s="808"/>
      <c r="CM148" s="808"/>
      <c r="CN148" s="808"/>
      <c r="CO148" s="808"/>
      <c r="CP148" s="808"/>
      <c r="CQ148" s="808"/>
      <c r="CR148" s="808"/>
      <c r="CS148" s="808"/>
      <c r="CT148" s="808"/>
      <c r="CU148" s="808"/>
      <c r="CV148" s="808"/>
      <c r="CW148" s="808"/>
      <c r="CX148" s="808"/>
      <c r="CY148" s="808"/>
      <c r="CZ148" s="808"/>
      <c r="DA148" s="808"/>
      <c r="DB148" s="808"/>
      <c r="DC148" s="808"/>
      <c r="DD148" s="808"/>
      <c r="DE148" s="808"/>
      <c r="DF148" s="808"/>
      <c r="DG148" s="808"/>
      <c r="DH148" s="808"/>
      <c r="DI148" s="808"/>
      <c r="DJ148" s="808"/>
      <c r="DK148" s="808"/>
      <c r="DL148" s="808"/>
      <c r="DM148" s="808"/>
      <c r="DN148" s="808"/>
      <c r="DO148" s="808"/>
      <c r="DP148" s="808"/>
    </row>
    <row r="149" spans="1:120">
      <c r="A149" s="821"/>
      <c r="B149" s="813" t="s">
        <v>1201</v>
      </c>
      <c r="C149" s="816" t="s">
        <v>82</v>
      </c>
      <c r="D149" s="815" t="s">
        <v>1260</v>
      </c>
      <c r="E149" s="815" t="str">
        <f>+E148</f>
        <v>485,216.3</v>
      </c>
      <c r="F149" s="815" t="s">
        <v>1260</v>
      </c>
      <c r="G149" s="815">
        <f>+G148</f>
        <v>0</v>
      </c>
      <c r="K149" s="808"/>
      <c r="M149" s="808"/>
      <c r="N149" s="808"/>
      <c r="O149" s="808"/>
      <c r="P149" s="808"/>
      <c r="Q149" s="808"/>
      <c r="R149" s="808"/>
      <c r="S149" s="808"/>
      <c r="T149" s="808"/>
      <c r="U149" s="808"/>
      <c r="V149" s="808"/>
      <c r="W149" s="808"/>
      <c r="X149" s="808"/>
      <c r="Y149" s="808"/>
      <c r="Z149" s="808"/>
      <c r="AA149" s="808"/>
      <c r="AB149" s="808"/>
      <c r="AC149" s="808"/>
      <c r="AD149" s="808"/>
      <c r="AE149" s="808"/>
      <c r="AF149" s="808"/>
      <c r="AG149" s="808"/>
      <c r="AH149" s="808"/>
      <c r="AI149" s="808"/>
      <c r="AJ149" s="808"/>
      <c r="AK149" s="808"/>
      <c r="AL149" s="808"/>
      <c r="AM149" s="808"/>
      <c r="AN149" s="808"/>
      <c r="AO149" s="808"/>
      <c r="AP149" s="808"/>
      <c r="AQ149" s="808"/>
      <c r="AR149" s="808"/>
      <c r="AS149" s="808"/>
      <c r="AT149" s="808"/>
      <c r="AU149" s="808"/>
      <c r="AV149" s="808"/>
      <c r="AW149" s="808"/>
      <c r="AX149" s="808"/>
      <c r="AY149" s="808"/>
      <c r="AZ149" s="808"/>
      <c r="BA149" s="808"/>
      <c r="BB149" s="808"/>
      <c r="BC149" s="808"/>
      <c r="BD149" s="808"/>
      <c r="BE149" s="808"/>
      <c r="BF149" s="808"/>
      <c r="BG149" s="808"/>
      <c r="BH149" s="808"/>
      <c r="BI149" s="808"/>
      <c r="BJ149" s="808"/>
      <c r="BK149" s="808"/>
      <c r="BL149" s="808"/>
      <c r="BM149" s="808"/>
      <c r="BN149" s="808"/>
      <c r="BO149" s="808"/>
      <c r="BP149" s="808"/>
      <c r="BQ149" s="808"/>
      <c r="BR149" s="808"/>
      <c r="BS149" s="808"/>
      <c r="BT149" s="808"/>
      <c r="BU149" s="808"/>
      <c r="BV149" s="808"/>
      <c r="BW149" s="808"/>
      <c r="BX149" s="808"/>
      <c r="BY149" s="808"/>
      <c r="BZ149" s="808"/>
      <c r="CA149" s="808"/>
      <c r="CB149" s="808"/>
      <c r="CC149" s="808"/>
      <c r="CD149" s="808"/>
      <c r="CE149" s="808"/>
      <c r="CF149" s="808"/>
      <c r="CG149" s="808"/>
      <c r="CH149" s="808"/>
      <c r="CI149" s="808"/>
      <c r="CJ149" s="808"/>
      <c r="CK149" s="808"/>
      <c r="CL149" s="808"/>
      <c r="CM149" s="808"/>
      <c r="CN149" s="808"/>
      <c r="CO149" s="808"/>
      <c r="CP149" s="808"/>
      <c r="CQ149" s="808"/>
      <c r="CR149" s="808"/>
      <c r="CS149" s="808"/>
      <c r="CT149" s="808"/>
      <c r="CU149" s="808"/>
      <c r="CV149" s="808"/>
      <c r="CW149" s="808"/>
      <c r="CX149" s="808"/>
      <c r="CY149" s="808"/>
      <c r="CZ149" s="808"/>
      <c r="DA149" s="808"/>
      <c r="DB149" s="808"/>
      <c r="DC149" s="808"/>
      <c r="DD149" s="808"/>
      <c r="DE149" s="808"/>
      <c r="DF149" s="808"/>
      <c r="DG149" s="808"/>
      <c r="DH149" s="808"/>
      <c r="DI149" s="808"/>
      <c r="DJ149" s="808"/>
      <c r="DK149" s="808"/>
      <c r="DL149" s="808"/>
      <c r="DM149" s="808"/>
      <c r="DN149" s="808"/>
      <c r="DO149" s="808"/>
      <c r="DP149" s="808"/>
    </row>
    <row r="150" spans="1:120">
      <c r="A150" s="821" t="s">
        <v>1201</v>
      </c>
      <c r="B150" s="807" t="s">
        <v>1201</v>
      </c>
      <c r="C150" s="808" t="s">
        <v>1201</v>
      </c>
      <c r="D150" s="214" t="s">
        <v>1201</v>
      </c>
      <c r="E150" s="214">
        <f>+E149-balance!C24/1000</f>
        <v>485216.3</v>
      </c>
      <c r="G150" s="214">
        <f>+G149-balance!D24/1000</f>
        <v>0</v>
      </c>
      <c r="K150" s="808"/>
      <c r="M150" s="808"/>
      <c r="N150" s="808"/>
      <c r="O150" s="808"/>
      <c r="P150" s="808"/>
      <c r="Q150" s="808"/>
      <c r="R150" s="808"/>
      <c r="S150" s="808"/>
      <c r="T150" s="808"/>
      <c r="U150" s="808"/>
      <c r="V150" s="808"/>
      <c r="W150" s="808"/>
      <c r="X150" s="808"/>
      <c r="Y150" s="808"/>
      <c r="Z150" s="808"/>
      <c r="AA150" s="808"/>
      <c r="AB150" s="808"/>
      <c r="AC150" s="808"/>
      <c r="AD150" s="808"/>
      <c r="AE150" s="808"/>
      <c r="AF150" s="808"/>
      <c r="AG150" s="808"/>
      <c r="AH150" s="808"/>
      <c r="AI150" s="808"/>
      <c r="AJ150" s="808"/>
      <c r="AK150" s="808"/>
      <c r="AL150" s="808"/>
      <c r="AM150" s="808"/>
      <c r="AN150" s="808"/>
      <c r="AO150" s="808"/>
      <c r="AP150" s="808"/>
      <c r="AQ150" s="808"/>
      <c r="AR150" s="808"/>
      <c r="AS150" s="808"/>
      <c r="AT150" s="808"/>
      <c r="AU150" s="808"/>
      <c r="AV150" s="808"/>
      <c r="AW150" s="808"/>
      <c r="AX150" s="808"/>
      <c r="AY150" s="808"/>
      <c r="AZ150" s="808"/>
      <c r="BA150" s="808"/>
      <c r="BB150" s="808"/>
      <c r="BC150" s="808"/>
      <c r="BD150" s="808"/>
      <c r="BE150" s="808"/>
      <c r="BF150" s="808"/>
      <c r="BG150" s="808"/>
      <c r="BH150" s="808"/>
      <c r="BI150" s="808"/>
      <c r="BJ150" s="808"/>
      <c r="BK150" s="808"/>
      <c r="BL150" s="808"/>
      <c r="BM150" s="808"/>
      <c r="BN150" s="808"/>
      <c r="BO150" s="808"/>
      <c r="BP150" s="984"/>
      <c r="BQ150" s="984"/>
      <c r="BR150" s="984"/>
      <c r="BS150" s="984"/>
      <c r="BT150" s="984"/>
      <c r="BU150" s="984"/>
      <c r="BV150" s="984"/>
      <c r="BW150" s="984"/>
      <c r="BX150" s="984"/>
      <c r="BY150" s="984"/>
      <c r="BZ150" s="984"/>
      <c r="CA150" s="984"/>
      <c r="CB150" s="984"/>
      <c r="CC150" s="984"/>
      <c r="CD150" s="984"/>
      <c r="CE150" s="984"/>
      <c r="CF150" s="984"/>
      <c r="CG150" s="984"/>
      <c r="CH150" s="984"/>
      <c r="CI150" s="984"/>
      <c r="CJ150" s="984"/>
      <c r="CK150" s="984"/>
      <c r="CL150" s="984"/>
      <c r="CM150" s="984"/>
      <c r="CN150" s="984"/>
      <c r="CO150" s="984"/>
      <c r="CP150" s="984"/>
      <c r="CQ150" s="984"/>
      <c r="CR150" s="984"/>
      <c r="CS150" s="984"/>
      <c r="CT150" s="984"/>
      <c r="CU150" s="984"/>
      <c r="CV150" s="984"/>
      <c r="CW150" s="984"/>
      <c r="CX150" s="984"/>
      <c r="CY150" s="984"/>
      <c r="CZ150" s="984"/>
      <c r="DA150" s="984"/>
      <c r="DB150" s="984"/>
      <c r="DC150" s="984"/>
      <c r="DD150" s="984"/>
      <c r="DE150" s="984"/>
      <c r="DF150" s="984"/>
      <c r="DG150" s="984"/>
      <c r="DH150" s="984"/>
      <c r="DI150" s="984"/>
      <c r="DJ150" s="984"/>
      <c r="DK150" s="984"/>
      <c r="DL150" s="984"/>
      <c r="DM150" s="984"/>
      <c r="DN150" s="984"/>
      <c r="DO150" s="984"/>
      <c r="DP150" s="984"/>
    </row>
    <row r="151" spans="1:120">
      <c r="A151" s="821"/>
      <c r="B151" s="809" t="s">
        <v>1271</v>
      </c>
      <c r="C151" s="808"/>
      <c r="K151" s="808"/>
      <c r="M151" s="808"/>
      <c r="N151" s="808"/>
      <c r="O151" s="808"/>
      <c r="P151" s="808"/>
      <c r="Q151" s="808"/>
      <c r="R151" s="808"/>
      <c r="S151" s="808"/>
      <c r="T151" s="808"/>
      <c r="U151" s="808"/>
      <c r="V151" s="808"/>
      <c r="W151" s="808"/>
      <c r="X151" s="808"/>
      <c r="Y151" s="808"/>
      <c r="Z151" s="808"/>
      <c r="AA151" s="808"/>
      <c r="AB151" s="808"/>
      <c r="AC151" s="808"/>
      <c r="AD151" s="808"/>
      <c r="AE151" s="808"/>
      <c r="AF151" s="808"/>
      <c r="AG151" s="808"/>
      <c r="AH151" s="808"/>
      <c r="AI151" s="808"/>
      <c r="AJ151" s="808"/>
      <c r="AK151" s="808"/>
      <c r="AL151" s="808"/>
      <c r="AM151" s="808"/>
      <c r="AN151" s="808"/>
      <c r="AO151" s="808"/>
      <c r="AP151" s="808"/>
      <c r="AQ151" s="808"/>
      <c r="AR151" s="808"/>
      <c r="AS151" s="808"/>
      <c r="AT151" s="808"/>
      <c r="AU151" s="808"/>
      <c r="AV151" s="808"/>
      <c r="AW151" s="808"/>
      <c r="AX151" s="808"/>
      <c r="AY151" s="808"/>
      <c r="AZ151" s="808"/>
      <c r="BA151" s="808"/>
      <c r="BB151" s="808"/>
      <c r="BC151" s="808"/>
      <c r="BD151" s="808"/>
      <c r="BE151" s="808"/>
      <c r="BF151" s="808"/>
      <c r="BG151" s="808"/>
      <c r="BH151" s="808"/>
      <c r="BI151" s="808"/>
      <c r="BJ151" s="808"/>
      <c r="BK151" s="808"/>
      <c r="BL151" s="808"/>
      <c r="BM151" s="808"/>
      <c r="BN151" s="808"/>
      <c r="BO151" s="808"/>
      <c r="BP151" s="808"/>
      <c r="BQ151" s="808"/>
      <c r="BR151" s="808"/>
      <c r="BS151" s="808"/>
      <c r="BT151" s="808"/>
      <c r="BU151" s="808"/>
      <c r="BV151" s="808"/>
      <c r="BW151" s="808"/>
      <c r="BX151" s="808"/>
      <c r="BY151" s="808"/>
      <c r="BZ151" s="808"/>
      <c r="CA151" s="808"/>
      <c r="CB151" s="808"/>
      <c r="CC151" s="808"/>
      <c r="CD151" s="808"/>
      <c r="CE151" s="808"/>
      <c r="CF151" s="808"/>
      <c r="CG151" s="808"/>
      <c r="CH151" s="808"/>
      <c r="CI151" s="808"/>
      <c r="CJ151" s="808"/>
      <c r="CK151" s="808"/>
      <c r="CL151" s="808"/>
      <c r="CM151" s="808"/>
      <c r="CN151" s="808"/>
      <c r="CO151" s="808"/>
      <c r="CP151" s="808"/>
      <c r="CQ151" s="808"/>
      <c r="CR151" s="808"/>
      <c r="CS151" s="808"/>
      <c r="CT151" s="808"/>
      <c r="CU151" s="808"/>
      <c r="CV151" s="808"/>
      <c r="CW151" s="808"/>
      <c r="CX151" s="808"/>
      <c r="CY151" s="808"/>
      <c r="CZ151" s="808"/>
      <c r="DA151" s="808"/>
      <c r="DB151" s="808"/>
      <c r="DC151" s="808"/>
      <c r="DD151" s="808"/>
      <c r="DE151" s="808"/>
      <c r="DF151" s="808"/>
      <c r="DG151" s="808"/>
      <c r="DH151" s="808"/>
      <c r="DI151" s="808"/>
      <c r="DJ151" s="808"/>
      <c r="DK151" s="808"/>
      <c r="DL151" s="808"/>
      <c r="DM151" s="808"/>
      <c r="DN151" s="808"/>
      <c r="DO151" s="808"/>
      <c r="DP151" s="808"/>
    </row>
    <row r="152" spans="1:120">
      <c r="A152" s="821"/>
      <c r="B152" s="807"/>
      <c r="C152" s="808"/>
      <c r="E152" s="810" t="s">
        <v>1203</v>
      </c>
      <c r="K152" s="808"/>
      <c r="M152" s="808"/>
      <c r="N152" s="808"/>
      <c r="O152" s="808"/>
      <c r="P152" s="808"/>
      <c r="Q152" s="808"/>
      <c r="R152" s="808"/>
      <c r="S152" s="808"/>
      <c r="T152" s="808"/>
      <c r="U152" s="808"/>
      <c r="V152" s="808"/>
      <c r="W152" s="808"/>
      <c r="X152" s="808"/>
      <c r="Y152" s="808"/>
      <c r="Z152" s="808"/>
      <c r="AA152" s="808"/>
      <c r="AB152" s="808"/>
      <c r="AC152" s="808"/>
      <c r="AD152" s="808"/>
      <c r="AE152" s="808"/>
      <c r="AF152" s="808"/>
      <c r="AG152" s="808"/>
      <c r="AH152" s="808"/>
      <c r="AI152" s="808"/>
      <c r="AJ152" s="808"/>
      <c r="AK152" s="808"/>
      <c r="AL152" s="808"/>
      <c r="AM152" s="808"/>
      <c r="AN152" s="808"/>
      <c r="AO152" s="808"/>
      <c r="AP152" s="808"/>
      <c r="AQ152" s="808"/>
      <c r="AR152" s="808"/>
      <c r="AS152" s="808"/>
      <c r="AT152" s="808"/>
      <c r="AU152" s="808"/>
      <c r="AV152" s="808"/>
      <c r="AW152" s="808"/>
      <c r="AX152" s="808"/>
      <c r="AY152" s="808"/>
      <c r="AZ152" s="808"/>
      <c r="BA152" s="808"/>
      <c r="BB152" s="808"/>
      <c r="BC152" s="808"/>
      <c r="BD152" s="808"/>
      <c r="BE152" s="808"/>
      <c r="BF152" s="808"/>
      <c r="BG152" s="808"/>
      <c r="BH152" s="808"/>
      <c r="BI152" s="808"/>
      <c r="BJ152" s="808"/>
      <c r="BK152" s="808"/>
      <c r="BL152" s="808"/>
      <c r="BM152" s="808"/>
      <c r="BN152" s="808"/>
      <c r="BO152" s="808"/>
      <c r="BP152" s="808"/>
      <c r="BQ152" s="808"/>
      <c r="BR152" s="808"/>
      <c r="BS152" s="808"/>
      <c r="BT152" s="808"/>
      <c r="BU152" s="808"/>
      <c r="BV152" s="808"/>
      <c r="BW152" s="808"/>
      <c r="BX152" s="808"/>
      <c r="BY152" s="808"/>
      <c r="BZ152" s="808"/>
      <c r="CA152" s="808"/>
      <c r="CB152" s="808"/>
      <c r="CC152" s="808"/>
      <c r="CD152" s="808"/>
      <c r="CE152" s="808"/>
      <c r="CF152" s="808"/>
      <c r="CG152" s="808"/>
      <c r="CH152" s="808"/>
      <c r="CI152" s="808"/>
      <c r="CJ152" s="808"/>
      <c r="CK152" s="808"/>
      <c r="CL152" s="808"/>
      <c r="CM152" s="808"/>
      <c r="CN152" s="808"/>
      <c r="CO152" s="808"/>
      <c r="CP152" s="808"/>
      <c r="CQ152" s="808"/>
      <c r="CR152" s="808"/>
      <c r="CS152" s="808"/>
      <c r="CT152" s="808"/>
      <c r="CU152" s="808"/>
      <c r="CV152" s="808"/>
      <c r="CW152" s="808"/>
      <c r="CX152" s="808"/>
      <c r="CY152" s="808"/>
      <c r="CZ152" s="808"/>
      <c r="DA152" s="808"/>
      <c r="DB152" s="808"/>
      <c r="DC152" s="808"/>
      <c r="DD152" s="808"/>
      <c r="DE152" s="808"/>
      <c r="DF152" s="808"/>
      <c r="DG152" s="808"/>
      <c r="DH152" s="808"/>
      <c r="DI152" s="808"/>
      <c r="DJ152" s="808"/>
      <c r="DK152" s="808"/>
      <c r="DL152" s="808"/>
      <c r="DM152" s="808"/>
      <c r="DN152" s="808"/>
      <c r="DO152" s="808"/>
      <c r="DP152" s="808"/>
    </row>
    <row r="153" spans="1:120">
      <c r="A153" s="821"/>
      <c r="B153" s="811" t="s">
        <v>79</v>
      </c>
      <c r="C153" s="811" t="s">
        <v>5</v>
      </c>
      <c r="D153" s="812" t="s">
        <v>195</v>
      </c>
      <c r="E153" s="812" t="s">
        <v>195</v>
      </c>
      <c r="K153" s="808"/>
      <c r="M153" s="808"/>
      <c r="N153" s="808"/>
      <c r="O153" s="808"/>
      <c r="P153" s="808"/>
      <c r="Q153" s="808"/>
      <c r="R153" s="808"/>
      <c r="S153" s="808"/>
      <c r="T153" s="808"/>
      <c r="U153" s="808"/>
      <c r="V153" s="808"/>
      <c r="W153" s="808"/>
      <c r="X153" s="808"/>
      <c r="Y153" s="808"/>
      <c r="Z153" s="808"/>
      <c r="AA153" s="808"/>
      <c r="AB153" s="808"/>
      <c r="AC153" s="808"/>
      <c r="AD153" s="808"/>
      <c r="AE153" s="808"/>
      <c r="AF153" s="808"/>
      <c r="AG153" s="808"/>
      <c r="AH153" s="808"/>
      <c r="AI153" s="808"/>
      <c r="AJ153" s="808"/>
      <c r="AK153" s="808"/>
      <c r="AL153" s="808"/>
      <c r="AM153" s="808"/>
      <c r="AN153" s="808"/>
      <c r="AO153" s="808"/>
      <c r="AP153" s="808"/>
      <c r="AQ153" s="808"/>
      <c r="AR153" s="808"/>
      <c r="AS153" s="808"/>
      <c r="AT153" s="808"/>
      <c r="AU153" s="808"/>
      <c r="AV153" s="808"/>
      <c r="AW153" s="808"/>
      <c r="AX153" s="808"/>
      <c r="AY153" s="808"/>
      <c r="AZ153" s="808"/>
      <c r="BA153" s="808"/>
      <c r="BB153" s="808"/>
      <c r="BC153" s="808"/>
      <c r="BD153" s="808"/>
      <c r="BE153" s="808"/>
      <c r="BF153" s="808"/>
      <c r="BG153" s="808"/>
      <c r="BH153" s="808"/>
      <c r="BI153" s="808"/>
      <c r="BJ153" s="808"/>
      <c r="BK153" s="808"/>
      <c r="BL153" s="808"/>
      <c r="BM153" s="808"/>
      <c r="BN153" s="808"/>
      <c r="BO153" s="808"/>
      <c r="BP153" s="808"/>
      <c r="BQ153" s="808"/>
      <c r="BR153" s="808"/>
      <c r="BS153" s="808"/>
      <c r="BT153" s="808"/>
      <c r="BU153" s="808"/>
      <c r="BV153" s="808"/>
      <c r="BW153" s="808"/>
      <c r="BX153" s="808"/>
      <c r="BY153" s="808"/>
      <c r="BZ153" s="808"/>
      <c r="CA153" s="808"/>
      <c r="CB153" s="808"/>
      <c r="CC153" s="808"/>
      <c r="CD153" s="808"/>
      <c r="CE153" s="808"/>
      <c r="CF153" s="808"/>
      <c r="CG153" s="808"/>
      <c r="CH153" s="808"/>
      <c r="CI153" s="808"/>
      <c r="CJ153" s="808"/>
      <c r="CK153" s="808"/>
      <c r="CL153" s="808"/>
      <c r="CM153" s="808"/>
      <c r="CN153" s="808"/>
      <c r="CO153" s="808"/>
      <c r="CP153" s="808"/>
      <c r="CQ153" s="808"/>
      <c r="CR153" s="808"/>
      <c r="CS153" s="808"/>
      <c r="CT153" s="808"/>
      <c r="CU153" s="808"/>
      <c r="CV153" s="808"/>
      <c r="CW153" s="808"/>
      <c r="CX153" s="808"/>
      <c r="CY153" s="808"/>
      <c r="CZ153" s="808"/>
      <c r="DA153" s="808"/>
      <c r="DB153" s="808"/>
      <c r="DC153" s="808"/>
      <c r="DD153" s="808"/>
      <c r="DE153" s="808"/>
      <c r="DF153" s="808"/>
      <c r="DG153" s="808"/>
      <c r="DH153" s="808"/>
      <c r="DI153" s="808"/>
      <c r="DJ153" s="808"/>
      <c r="DK153" s="808"/>
      <c r="DL153" s="808"/>
      <c r="DM153" s="808"/>
      <c r="DN153" s="808"/>
      <c r="DO153" s="808"/>
      <c r="DP153" s="808"/>
    </row>
    <row r="154" spans="1:120">
      <c r="A154" s="821"/>
      <c r="B154" s="813" t="s">
        <v>947</v>
      </c>
      <c r="C154" s="814"/>
      <c r="D154" s="815">
        <f>+balance!C27/1000</f>
        <v>9226893.6329299994</v>
      </c>
      <c r="E154" s="815" t="e">
        <f>+balance!#REF!</f>
        <v>#REF!</v>
      </c>
      <c r="K154" s="808"/>
      <c r="M154" s="808"/>
      <c r="N154" s="808"/>
      <c r="O154" s="808"/>
      <c r="P154" s="808"/>
      <c r="Q154" s="808"/>
      <c r="R154" s="808"/>
      <c r="S154" s="808"/>
      <c r="T154" s="808"/>
      <c r="U154" s="808"/>
      <c r="V154" s="808"/>
      <c r="W154" s="808"/>
      <c r="X154" s="808"/>
      <c r="Y154" s="808"/>
      <c r="Z154" s="808"/>
      <c r="AA154" s="808"/>
      <c r="AB154" s="808"/>
      <c r="AC154" s="808"/>
      <c r="AD154" s="808"/>
      <c r="AE154" s="808"/>
      <c r="AF154" s="808"/>
      <c r="AG154" s="808"/>
      <c r="AH154" s="808"/>
      <c r="AI154" s="808"/>
      <c r="AJ154" s="808"/>
      <c r="AK154" s="808"/>
      <c r="AL154" s="808"/>
      <c r="AM154" s="808"/>
      <c r="AN154" s="808"/>
      <c r="AO154" s="808"/>
      <c r="AP154" s="808"/>
      <c r="AQ154" s="808"/>
      <c r="AR154" s="808"/>
      <c r="AS154" s="808"/>
      <c r="AT154" s="808"/>
      <c r="AU154" s="808"/>
      <c r="AV154" s="808"/>
      <c r="AW154" s="808"/>
      <c r="AX154" s="808"/>
      <c r="AY154" s="808"/>
      <c r="AZ154" s="808"/>
      <c r="BA154" s="808"/>
      <c r="BB154" s="808"/>
      <c r="BC154" s="808"/>
      <c r="BD154" s="808"/>
      <c r="BE154" s="808"/>
      <c r="BF154" s="808"/>
      <c r="BG154" s="808"/>
      <c r="BH154" s="808"/>
      <c r="BI154" s="808"/>
      <c r="BJ154" s="808"/>
      <c r="BK154" s="808"/>
      <c r="BL154" s="808"/>
      <c r="BM154" s="808"/>
      <c r="BN154" s="808"/>
      <c r="BO154" s="808"/>
      <c r="BP154" s="808"/>
      <c r="BQ154" s="808"/>
      <c r="BR154" s="808"/>
      <c r="BS154" s="808"/>
      <c r="BT154" s="808"/>
      <c r="BU154" s="808"/>
      <c r="BV154" s="808"/>
      <c r="BW154" s="808"/>
      <c r="BX154" s="808"/>
      <c r="BY154" s="808"/>
      <c r="BZ154" s="808"/>
      <c r="CA154" s="808"/>
      <c r="CB154" s="808"/>
      <c r="CC154" s="808"/>
      <c r="CD154" s="808"/>
      <c r="CE154" s="808"/>
      <c r="CF154" s="808"/>
      <c r="CG154" s="808"/>
      <c r="CH154" s="808"/>
      <c r="CI154" s="808"/>
      <c r="CJ154" s="808"/>
      <c r="CK154" s="808"/>
      <c r="CL154" s="808"/>
      <c r="CM154" s="808"/>
      <c r="CN154" s="808"/>
      <c r="CO154" s="808"/>
      <c r="CP154" s="808"/>
      <c r="CQ154" s="808"/>
      <c r="CR154" s="808"/>
      <c r="CS154" s="808"/>
      <c r="CT154" s="808"/>
      <c r="CU154" s="808"/>
      <c r="CV154" s="808"/>
      <c r="CW154" s="808"/>
      <c r="CX154" s="808"/>
      <c r="CY154" s="808"/>
      <c r="CZ154" s="808"/>
      <c r="DA154" s="808"/>
      <c r="DB154" s="808"/>
      <c r="DC154" s="808"/>
      <c r="DD154" s="808"/>
      <c r="DE154" s="808"/>
      <c r="DF154" s="808"/>
      <c r="DG154" s="808"/>
      <c r="DH154" s="808"/>
      <c r="DI154" s="808"/>
      <c r="DJ154" s="808"/>
      <c r="DK154" s="808"/>
      <c r="DL154" s="808"/>
      <c r="DM154" s="808"/>
      <c r="DN154" s="808"/>
      <c r="DO154" s="808"/>
      <c r="DP154" s="808"/>
    </row>
    <row r="155" spans="1:120">
      <c r="A155" s="821"/>
      <c r="B155" s="813" t="s">
        <v>1201</v>
      </c>
      <c r="C155" s="816" t="s">
        <v>82</v>
      </c>
      <c r="D155" s="815">
        <f>+D154</f>
        <v>9226893.6329299994</v>
      </c>
      <c r="E155" s="815" t="e">
        <f>+E154</f>
        <v>#REF!</v>
      </c>
      <c r="K155" s="808"/>
      <c r="M155" s="808"/>
      <c r="N155" s="808"/>
      <c r="O155" s="808"/>
      <c r="P155" s="808"/>
      <c r="Q155" s="808"/>
      <c r="R155" s="808"/>
      <c r="S155" s="808"/>
      <c r="T155" s="808"/>
      <c r="U155" s="808"/>
      <c r="V155" s="808"/>
      <c r="W155" s="808"/>
      <c r="X155" s="808"/>
      <c r="Y155" s="808"/>
      <c r="Z155" s="808"/>
      <c r="AA155" s="808"/>
      <c r="AB155" s="808"/>
      <c r="AC155" s="808"/>
      <c r="AD155" s="808"/>
      <c r="AE155" s="808"/>
      <c r="AF155" s="808"/>
      <c r="AG155" s="808"/>
      <c r="AH155" s="808"/>
      <c r="AI155" s="808"/>
      <c r="AJ155" s="808"/>
      <c r="AK155" s="808"/>
      <c r="AL155" s="808"/>
      <c r="AM155" s="808"/>
      <c r="AN155" s="808"/>
      <c r="AO155" s="808"/>
      <c r="AP155" s="808"/>
      <c r="AQ155" s="808"/>
      <c r="AR155" s="808"/>
      <c r="AS155" s="808"/>
      <c r="AT155" s="808"/>
      <c r="AU155" s="808"/>
      <c r="AV155" s="808"/>
      <c r="AW155" s="808"/>
      <c r="AX155" s="808"/>
      <c r="AY155" s="808"/>
      <c r="AZ155" s="808"/>
      <c r="BA155" s="808"/>
      <c r="BB155" s="808"/>
      <c r="BC155" s="808"/>
      <c r="BD155" s="808"/>
      <c r="BE155" s="808"/>
      <c r="BF155" s="808"/>
      <c r="BG155" s="808"/>
      <c r="BH155" s="808"/>
      <c r="BI155" s="808"/>
      <c r="BJ155" s="808"/>
      <c r="BK155" s="808"/>
      <c r="BL155" s="808"/>
      <c r="BM155" s="808"/>
      <c r="BN155" s="808"/>
      <c r="BO155" s="808"/>
      <c r="BP155" s="808"/>
      <c r="BQ155" s="808"/>
      <c r="BR155" s="808"/>
      <c r="BS155" s="808"/>
      <c r="BT155" s="808"/>
      <c r="BU155" s="808"/>
      <c r="BV155" s="808"/>
      <c r="BW155" s="808"/>
      <c r="BX155" s="808"/>
      <c r="BY155" s="808"/>
      <c r="BZ155" s="808"/>
      <c r="CA155" s="808"/>
      <c r="CB155" s="808"/>
      <c r="CC155" s="808"/>
      <c r="CD155" s="808"/>
      <c r="CE155" s="808"/>
      <c r="CF155" s="808"/>
      <c r="CG155" s="808"/>
      <c r="CH155" s="808"/>
      <c r="CI155" s="808"/>
      <c r="CJ155" s="808"/>
      <c r="CK155" s="808"/>
      <c r="CL155" s="808"/>
      <c r="CM155" s="808"/>
      <c r="CN155" s="808"/>
      <c r="CO155" s="808"/>
      <c r="CP155" s="808"/>
      <c r="CQ155" s="808"/>
      <c r="CR155" s="808"/>
      <c r="CS155" s="808"/>
      <c r="CT155" s="808"/>
      <c r="CU155" s="808"/>
      <c r="CV155" s="808"/>
      <c r="CW155" s="808"/>
      <c r="CX155" s="808"/>
      <c r="CY155" s="808"/>
      <c r="CZ155" s="808"/>
      <c r="DA155" s="808"/>
      <c r="DB155" s="808"/>
      <c r="DC155" s="808"/>
      <c r="DD155" s="808"/>
      <c r="DE155" s="808"/>
      <c r="DF155" s="808"/>
      <c r="DG155" s="808"/>
      <c r="DH155" s="808"/>
      <c r="DI155" s="808"/>
      <c r="DJ155" s="808"/>
      <c r="DK155" s="808"/>
      <c r="DL155" s="808"/>
      <c r="DM155" s="808"/>
      <c r="DN155" s="808"/>
      <c r="DO155" s="808"/>
      <c r="DP155" s="808"/>
    </row>
    <row r="156" spans="1:120">
      <c r="A156" s="821"/>
      <c r="B156" s="809" t="s">
        <v>1204</v>
      </c>
      <c r="C156" s="808"/>
      <c r="K156" s="808"/>
      <c r="M156" s="808"/>
      <c r="N156" s="808"/>
      <c r="O156" s="808"/>
      <c r="P156" s="808"/>
      <c r="Q156" s="808"/>
      <c r="R156" s="808"/>
      <c r="S156" s="808"/>
      <c r="T156" s="808"/>
      <c r="U156" s="808"/>
      <c r="V156" s="808"/>
      <c r="W156" s="808"/>
      <c r="X156" s="808"/>
      <c r="Y156" s="808"/>
      <c r="Z156" s="808"/>
      <c r="AA156" s="808"/>
      <c r="AB156" s="808"/>
      <c r="AC156" s="808"/>
      <c r="AD156" s="808"/>
      <c r="AE156" s="808"/>
      <c r="AF156" s="808"/>
      <c r="AG156" s="808"/>
      <c r="AH156" s="808"/>
      <c r="AI156" s="808"/>
      <c r="AJ156" s="808"/>
      <c r="AK156" s="808"/>
      <c r="AL156" s="808"/>
      <c r="AM156" s="808"/>
      <c r="AN156" s="808"/>
      <c r="AO156" s="808"/>
      <c r="AP156" s="808"/>
      <c r="AQ156" s="808"/>
      <c r="AR156" s="808"/>
      <c r="AS156" s="808"/>
      <c r="AT156" s="808"/>
      <c r="AU156" s="808"/>
      <c r="AV156" s="808"/>
      <c r="AW156" s="808"/>
      <c r="AX156" s="808"/>
      <c r="AY156" s="808"/>
      <c r="AZ156" s="808"/>
      <c r="BA156" s="808"/>
      <c r="BB156" s="808"/>
      <c r="BC156" s="808"/>
      <c r="BD156" s="808"/>
      <c r="BE156" s="808"/>
      <c r="BF156" s="808"/>
      <c r="BG156" s="808"/>
      <c r="BH156" s="808"/>
      <c r="BI156" s="808"/>
      <c r="BJ156" s="808"/>
      <c r="BK156" s="808"/>
      <c r="BL156" s="808"/>
      <c r="BM156" s="808"/>
      <c r="BN156" s="808"/>
      <c r="BO156" s="808"/>
      <c r="BP156" s="808"/>
      <c r="BQ156" s="808"/>
      <c r="BR156" s="808"/>
      <c r="BS156" s="808"/>
      <c r="BT156" s="808"/>
      <c r="BU156" s="808"/>
      <c r="BV156" s="808"/>
      <c r="BW156" s="808"/>
      <c r="BX156" s="808"/>
      <c r="BY156" s="808"/>
      <c r="BZ156" s="808"/>
      <c r="CA156" s="808"/>
      <c r="CB156" s="808"/>
      <c r="CC156" s="808"/>
      <c r="CD156" s="808"/>
      <c r="CE156" s="808"/>
      <c r="CF156" s="808"/>
      <c r="CG156" s="808"/>
      <c r="CH156" s="808"/>
      <c r="CI156" s="808"/>
      <c r="CJ156" s="808"/>
      <c r="CK156" s="808"/>
      <c r="CL156" s="808"/>
      <c r="CM156" s="808"/>
      <c r="CN156" s="808"/>
      <c r="CO156" s="808"/>
      <c r="CP156" s="808"/>
      <c r="CQ156" s="808"/>
      <c r="CR156" s="808"/>
      <c r="CS156" s="808"/>
      <c r="CT156" s="808"/>
      <c r="CU156" s="808"/>
      <c r="CV156" s="808"/>
      <c r="CW156" s="808"/>
      <c r="CX156" s="808"/>
      <c r="CY156" s="808"/>
      <c r="CZ156" s="808"/>
      <c r="DA156" s="808"/>
      <c r="DB156" s="808"/>
      <c r="DC156" s="808"/>
      <c r="DD156" s="808"/>
      <c r="DE156" s="808"/>
      <c r="DF156" s="808"/>
      <c r="DG156" s="808"/>
      <c r="DH156" s="808"/>
      <c r="DI156" s="808"/>
      <c r="DJ156" s="808"/>
      <c r="DK156" s="808"/>
      <c r="DL156" s="808"/>
      <c r="DM156" s="808"/>
      <c r="DN156" s="808"/>
      <c r="DO156" s="808"/>
      <c r="DP156" s="808"/>
    </row>
    <row r="157" spans="1:120">
      <c r="A157" s="821"/>
      <c r="B157" s="809"/>
      <c r="C157" s="808"/>
      <c r="K157" s="808"/>
      <c r="M157" s="808"/>
      <c r="N157" s="808"/>
      <c r="O157" s="808"/>
      <c r="P157" s="808"/>
      <c r="Q157" s="808"/>
      <c r="R157" s="808"/>
      <c r="S157" s="808"/>
      <c r="T157" s="808"/>
      <c r="U157" s="808"/>
      <c r="V157" s="808"/>
      <c r="W157" s="808"/>
      <c r="X157" s="808"/>
      <c r="Y157" s="808"/>
      <c r="Z157" s="808"/>
      <c r="AA157" s="808"/>
      <c r="AB157" s="808"/>
      <c r="AC157" s="808"/>
      <c r="AD157" s="808"/>
      <c r="AE157" s="808"/>
      <c r="AF157" s="808"/>
      <c r="AG157" s="808"/>
      <c r="AH157" s="808"/>
      <c r="AI157" s="808"/>
      <c r="AJ157" s="808"/>
      <c r="AK157" s="808"/>
      <c r="AL157" s="808"/>
      <c r="AM157" s="808"/>
      <c r="AN157" s="808"/>
      <c r="AO157" s="808"/>
      <c r="AP157" s="808"/>
      <c r="AQ157" s="808"/>
      <c r="AR157" s="808"/>
      <c r="AS157" s="808"/>
      <c r="AT157" s="808"/>
      <c r="AU157" s="808"/>
      <c r="AV157" s="808"/>
      <c r="AW157" s="808"/>
      <c r="AX157" s="808"/>
      <c r="AY157" s="808"/>
      <c r="AZ157" s="808"/>
      <c r="BA157" s="808"/>
      <c r="BB157" s="808"/>
      <c r="BC157" s="808"/>
      <c r="BD157" s="808"/>
      <c r="BE157" s="808"/>
      <c r="BF157" s="808"/>
      <c r="BG157" s="808"/>
      <c r="BH157" s="808"/>
      <c r="BI157" s="808"/>
      <c r="BJ157" s="808"/>
      <c r="BK157" s="808"/>
      <c r="BL157" s="808"/>
      <c r="BM157" s="808"/>
      <c r="BN157" s="808"/>
      <c r="BO157" s="808"/>
      <c r="BP157" s="808"/>
      <c r="BQ157" s="808"/>
      <c r="BR157" s="808"/>
      <c r="BS157" s="808"/>
      <c r="BT157" s="808"/>
      <c r="BU157" s="808"/>
      <c r="BV157" s="808"/>
      <c r="BW157" s="808"/>
      <c r="BX157" s="808"/>
      <c r="BY157" s="808"/>
      <c r="BZ157" s="808"/>
      <c r="CA157" s="808"/>
      <c r="CB157" s="808"/>
      <c r="CC157" s="808"/>
      <c r="CD157" s="808"/>
      <c r="CE157" s="808"/>
      <c r="CF157" s="808"/>
      <c r="CG157" s="808"/>
      <c r="CH157" s="808"/>
      <c r="CI157" s="808"/>
      <c r="CJ157" s="808"/>
      <c r="CK157" s="808"/>
      <c r="CL157" s="808"/>
      <c r="CM157" s="808"/>
      <c r="CN157" s="808"/>
      <c r="CO157" s="808"/>
      <c r="CP157" s="808"/>
      <c r="CQ157" s="808"/>
      <c r="CR157" s="808"/>
      <c r="CS157" s="808"/>
      <c r="CT157" s="808"/>
      <c r="CU157" s="808"/>
      <c r="CV157" s="808"/>
      <c r="CW157" s="808"/>
      <c r="CX157" s="808"/>
      <c r="CY157" s="808"/>
      <c r="CZ157" s="808"/>
      <c r="DA157" s="808"/>
      <c r="DB157" s="808"/>
      <c r="DC157" s="808"/>
      <c r="DD157" s="808"/>
      <c r="DE157" s="808"/>
      <c r="DF157" s="808"/>
      <c r="DG157" s="808"/>
      <c r="DH157" s="808"/>
      <c r="DI157" s="808"/>
      <c r="DJ157" s="808"/>
      <c r="DK157" s="808"/>
      <c r="DL157" s="808"/>
      <c r="DM157" s="808"/>
      <c r="DN157" s="808"/>
      <c r="DO157" s="808"/>
      <c r="DP157" s="808"/>
    </row>
    <row r="158" spans="1:120">
      <c r="A158" s="821"/>
      <c r="B158" s="809"/>
      <c r="C158" s="808"/>
      <c r="K158" s="808"/>
      <c r="M158" s="808"/>
      <c r="N158" s="808"/>
      <c r="O158" s="808"/>
      <c r="P158" s="808"/>
      <c r="Q158" s="808"/>
      <c r="R158" s="808"/>
      <c r="S158" s="808"/>
      <c r="T158" s="808"/>
      <c r="U158" s="808"/>
      <c r="V158" s="808"/>
      <c r="W158" s="808"/>
      <c r="X158" s="808"/>
      <c r="Y158" s="808"/>
      <c r="Z158" s="808"/>
      <c r="AA158" s="808"/>
      <c r="AB158" s="808"/>
      <c r="AC158" s="808"/>
      <c r="AD158" s="808"/>
      <c r="AE158" s="808"/>
      <c r="AF158" s="808"/>
      <c r="AG158" s="808"/>
      <c r="AH158" s="808"/>
      <c r="AI158" s="808"/>
      <c r="AJ158" s="808"/>
      <c r="AK158" s="808"/>
      <c r="AL158" s="808"/>
      <c r="AM158" s="808"/>
      <c r="AN158" s="808"/>
      <c r="AO158" s="808"/>
      <c r="AP158" s="808"/>
      <c r="AQ158" s="808"/>
      <c r="AR158" s="808"/>
      <c r="AS158" s="808"/>
      <c r="AT158" s="808"/>
      <c r="AU158" s="808"/>
      <c r="AV158" s="808"/>
      <c r="AW158" s="808"/>
      <c r="AX158" s="808"/>
      <c r="AY158" s="808"/>
      <c r="AZ158" s="808"/>
      <c r="BA158" s="808"/>
      <c r="BB158" s="808"/>
      <c r="BC158" s="808"/>
      <c r="BD158" s="808"/>
      <c r="BE158" s="808"/>
      <c r="BF158" s="808"/>
      <c r="BG158" s="808"/>
      <c r="BH158" s="808"/>
      <c r="BI158" s="808"/>
      <c r="BJ158" s="808"/>
      <c r="BK158" s="808"/>
      <c r="BL158" s="808"/>
      <c r="BM158" s="808"/>
      <c r="BN158" s="808"/>
      <c r="BO158" s="808"/>
      <c r="BP158" s="808"/>
      <c r="BQ158" s="808"/>
      <c r="BR158" s="808"/>
      <c r="BS158" s="808"/>
      <c r="BT158" s="808"/>
      <c r="BU158" s="808"/>
      <c r="BV158" s="808"/>
      <c r="BW158" s="808"/>
      <c r="BX158" s="808"/>
      <c r="BY158" s="808"/>
      <c r="BZ158" s="808"/>
      <c r="CA158" s="808"/>
      <c r="CB158" s="808"/>
      <c r="CC158" s="808"/>
      <c r="CD158" s="808"/>
      <c r="CE158" s="808"/>
      <c r="CF158" s="808"/>
      <c r="CG158" s="808"/>
      <c r="CH158" s="808"/>
      <c r="CI158" s="808"/>
      <c r="CJ158" s="808"/>
      <c r="CK158" s="808"/>
      <c r="CL158" s="808"/>
      <c r="CM158" s="808"/>
      <c r="CN158" s="808"/>
      <c r="CO158" s="808"/>
      <c r="CP158" s="808"/>
      <c r="CQ158" s="808"/>
      <c r="CR158" s="808"/>
      <c r="CS158" s="808"/>
      <c r="CT158" s="808"/>
      <c r="CU158" s="808"/>
      <c r="CV158" s="808"/>
      <c r="CW158" s="808"/>
      <c r="CX158" s="808"/>
      <c r="CY158" s="808"/>
      <c r="CZ158" s="808"/>
      <c r="DA158" s="808"/>
      <c r="DB158" s="808"/>
      <c r="DC158" s="808"/>
      <c r="DD158" s="808"/>
      <c r="DE158" s="808"/>
      <c r="DF158" s="808"/>
      <c r="DG158" s="808"/>
      <c r="DH158" s="808"/>
      <c r="DI158" s="808"/>
      <c r="DJ158" s="808"/>
      <c r="DK158" s="808"/>
      <c r="DL158" s="808"/>
      <c r="DM158" s="808"/>
      <c r="DN158" s="808"/>
      <c r="DO158" s="808"/>
      <c r="DP158" s="808"/>
    </row>
    <row r="159" spans="1:120">
      <c r="A159" s="821"/>
      <c r="B159" s="809"/>
      <c r="C159" s="808"/>
      <c r="K159" s="808"/>
      <c r="M159" s="808"/>
      <c r="N159" s="808"/>
      <c r="O159" s="808"/>
      <c r="P159" s="808"/>
      <c r="Q159" s="808"/>
      <c r="R159" s="808"/>
      <c r="S159" s="808"/>
      <c r="T159" s="808"/>
      <c r="U159" s="808"/>
      <c r="V159" s="808"/>
      <c r="W159" s="808"/>
      <c r="X159" s="808"/>
      <c r="Y159" s="808"/>
      <c r="Z159" s="808"/>
      <c r="AA159" s="808"/>
      <c r="AB159" s="808"/>
      <c r="AC159" s="808"/>
      <c r="AD159" s="808"/>
      <c r="AE159" s="808"/>
      <c r="AF159" s="808"/>
      <c r="AG159" s="808"/>
      <c r="AH159" s="808"/>
      <c r="AI159" s="808"/>
      <c r="AJ159" s="808"/>
      <c r="AK159" s="808"/>
      <c r="AL159" s="808"/>
      <c r="AM159" s="808"/>
      <c r="AN159" s="808"/>
      <c r="AO159" s="808"/>
      <c r="AP159" s="808"/>
      <c r="AQ159" s="808"/>
      <c r="AR159" s="808"/>
      <c r="AS159" s="808"/>
      <c r="AT159" s="808"/>
      <c r="AU159" s="808"/>
      <c r="AV159" s="808"/>
      <c r="AW159" s="808"/>
      <c r="AX159" s="808"/>
      <c r="AY159" s="808"/>
      <c r="AZ159" s="808"/>
      <c r="BA159" s="808"/>
      <c r="BB159" s="808"/>
      <c r="BC159" s="808"/>
      <c r="BD159" s="808"/>
      <c r="BE159" s="808"/>
      <c r="BF159" s="808"/>
      <c r="BG159" s="808"/>
      <c r="BH159" s="808"/>
      <c r="BI159" s="808"/>
      <c r="BJ159" s="808"/>
      <c r="BK159" s="808"/>
      <c r="BL159" s="808"/>
      <c r="BM159" s="808"/>
      <c r="BN159" s="808"/>
      <c r="BO159" s="808"/>
      <c r="BP159" s="808"/>
      <c r="BQ159" s="808"/>
      <c r="BR159" s="808"/>
      <c r="BS159" s="808"/>
      <c r="BT159" s="808"/>
      <c r="BU159" s="808"/>
      <c r="BV159" s="808"/>
      <c r="BW159" s="808"/>
      <c r="BX159" s="808"/>
      <c r="BY159" s="808"/>
      <c r="BZ159" s="808"/>
      <c r="CA159" s="808"/>
      <c r="CB159" s="808"/>
      <c r="CC159" s="808"/>
      <c r="CD159" s="808"/>
      <c r="CE159" s="808"/>
      <c r="CF159" s="808"/>
      <c r="CG159" s="808"/>
      <c r="CH159" s="808"/>
      <c r="CI159" s="808"/>
      <c r="CJ159" s="808"/>
      <c r="CK159" s="808"/>
      <c r="CL159" s="808"/>
      <c r="CM159" s="808"/>
      <c r="CN159" s="808"/>
      <c r="CO159" s="808"/>
      <c r="CP159" s="808"/>
      <c r="CQ159" s="808"/>
      <c r="CR159" s="808"/>
      <c r="CS159" s="808"/>
      <c r="CT159" s="808"/>
      <c r="CU159" s="808"/>
      <c r="CV159" s="808"/>
      <c r="CW159" s="808"/>
      <c r="CX159" s="808"/>
      <c r="CY159" s="808"/>
      <c r="CZ159" s="808"/>
      <c r="DA159" s="808"/>
      <c r="DB159" s="808"/>
      <c r="DC159" s="808"/>
      <c r="DD159" s="808"/>
      <c r="DE159" s="808"/>
      <c r="DF159" s="808"/>
      <c r="DG159" s="808"/>
      <c r="DH159" s="808"/>
      <c r="DI159" s="808"/>
      <c r="DJ159" s="808"/>
      <c r="DK159" s="808"/>
      <c r="DL159" s="808"/>
      <c r="DM159" s="808"/>
      <c r="DN159" s="808"/>
      <c r="DO159" s="808"/>
      <c r="DP159" s="808"/>
    </row>
    <row r="160" spans="1:120">
      <c r="A160" s="821"/>
      <c r="B160" s="809"/>
      <c r="C160" s="808"/>
      <c r="K160" s="808"/>
      <c r="M160" s="808"/>
      <c r="N160" s="808"/>
      <c r="O160" s="808"/>
      <c r="P160" s="808"/>
      <c r="Q160" s="808"/>
      <c r="R160" s="808"/>
      <c r="S160" s="808"/>
      <c r="T160" s="808"/>
      <c r="U160" s="808"/>
      <c r="V160" s="808"/>
      <c r="W160" s="808"/>
      <c r="X160" s="808"/>
      <c r="Y160" s="808"/>
      <c r="Z160" s="808"/>
      <c r="AA160" s="808"/>
      <c r="AB160" s="808"/>
      <c r="AC160" s="808"/>
      <c r="AD160" s="808"/>
      <c r="AE160" s="808"/>
      <c r="AF160" s="808"/>
      <c r="AG160" s="808"/>
      <c r="AH160" s="808"/>
      <c r="AI160" s="808"/>
      <c r="AJ160" s="808"/>
      <c r="AK160" s="808"/>
      <c r="AL160" s="808"/>
      <c r="AM160" s="808"/>
      <c r="AN160" s="808"/>
      <c r="AO160" s="808"/>
      <c r="AP160" s="808"/>
      <c r="AQ160" s="808"/>
      <c r="AR160" s="808"/>
      <c r="AS160" s="808"/>
      <c r="AT160" s="808"/>
      <c r="AU160" s="808"/>
      <c r="AV160" s="808"/>
      <c r="AW160" s="808"/>
      <c r="AX160" s="808"/>
      <c r="AY160" s="808"/>
      <c r="AZ160" s="808"/>
      <c r="BA160" s="808"/>
      <c r="BB160" s="808"/>
      <c r="BC160" s="808"/>
      <c r="BD160" s="808"/>
      <c r="BE160" s="808"/>
      <c r="BF160" s="808"/>
      <c r="BG160" s="808"/>
      <c r="BH160" s="808"/>
      <c r="BI160" s="808"/>
      <c r="BJ160" s="808"/>
      <c r="BK160" s="808"/>
      <c r="BL160" s="808"/>
      <c r="BM160" s="808"/>
      <c r="BN160" s="808"/>
      <c r="BO160" s="808"/>
      <c r="BP160" s="808"/>
      <c r="BQ160" s="808"/>
      <c r="BR160" s="808"/>
      <c r="BS160" s="808"/>
      <c r="BT160" s="808"/>
      <c r="BU160" s="808"/>
      <c r="BV160" s="808"/>
      <c r="BW160" s="808"/>
      <c r="BX160" s="808"/>
      <c r="BY160" s="808"/>
      <c r="BZ160" s="808"/>
      <c r="CA160" s="808"/>
      <c r="CB160" s="808"/>
      <c r="CC160" s="808"/>
      <c r="CD160" s="808"/>
      <c r="CE160" s="808"/>
      <c r="CF160" s="808"/>
      <c r="CG160" s="808"/>
      <c r="CH160" s="808"/>
      <c r="CI160" s="808"/>
      <c r="CJ160" s="808"/>
      <c r="CK160" s="808"/>
      <c r="CL160" s="808"/>
      <c r="CM160" s="808"/>
      <c r="CN160" s="808"/>
      <c r="CO160" s="808"/>
      <c r="CP160" s="808"/>
      <c r="CQ160" s="808"/>
      <c r="CR160" s="808"/>
      <c r="CS160" s="808"/>
      <c r="CT160" s="808"/>
      <c r="CU160" s="808"/>
      <c r="CV160" s="808"/>
      <c r="CW160" s="808"/>
      <c r="CX160" s="808"/>
      <c r="CY160" s="808"/>
      <c r="CZ160" s="808"/>
      <c r="DA160" s="808"/>
      <c r="DB160" s="808"/>
      <c r="DC160" s="808"/>
      <c r="DD160" s="808"/>
      <c r="DE160" s="808"/>
      <c r="DF160" s="808"/>
      <c r="DG160" s="808"/>
      <c r="DH160" s="808"/>
      <c r="DI160" s="808"/>
      <c r="DJ160" s="808"/>
      <c r="DK160" s="808"/>
      <c r="DL160" s="808"/>
      <c r="DM160" s="808"/>
      <c r="DN160" s="808"/>
      <c r="DO160" s="808"/>
      <c r="DP160" s="808"/>
    </row>
    <row r="161" spans="1:120">
      <c r="A161" s="821"/>
      <c r="B161" s="809"/>
      <c r="C161" s="808"/>
      <c r="K161" s="808"/>
      <c r="M161" s="808"/>
      <c r="N161" s="808"/>
      <c r="O161" s="808"/>
      <c r="P161" s="808"/>
      <c r="Q161" s="808"/>
      <c r="R161" s="808"/>
      <c r="S161" s="808"/>
      <c r="T161" s="808"/>
      <c r="U161" s="808"/>
      <c r="V161" s="808"/>
      <c r="W161" s="808"/>
      <c r="X161" s="808"/>
      <c r="Y161" s="808"/>
      <c r="Z161" s="808"/>
      <c r="AA161" s="808"/>
      <c r="AB161" s="808"/>
      <c r="AC161" s="808"/>
      <c r="AD161" s="808"/>
      <c r="AE161" s="808"/>
      <c r="AF161" s="808"/>
      <c r="AG161" s="808"/>
      <c r="AH161" s="808"/>
      <c r="AI161" s="808"/>
      <c r="AJ161" s="808"/>
      <c r="AK161" s="808"/>
      <c r="AL161" s="808"/>
      <c r="AM161" s="808"/>
      <c r="AN161" s="808"/>
      <c r="AO161" s="808"/>
      <c r="AP161" s="808"/>
      <c r="AQ161" s="808"/>
      <c r="AR161" s="808"/>
      <c r="AS161" s="808"/>
      <c r="AT161" s="808"/>
      <c r="AU161" s="808"/>
      <c r="AV161" s="808"/>
      <c r="AW161" s="808"/>
      <c r="AX161" s="808"/>
      <c r="AY161" s="808"/>
      <c r="AZ161" s="808"/>
      <c r="BA161" s="808"/>
      <c r="BB161" s="808"/>
      <c r="BC161" s="808"/>
      <c r="BD161" s="808"/>
      <c r="BE161" s="808"/>
      <c r="BF161" s="808"/>
      <c r="BG161" s="808"/>
      <c r="BH161" s="808"/>
      <c r="BI161" s="808"/>
      <c r="BJ161" s="808"/>
      <c r="BK161" s="808"/>
      <c r="BL161" s="808"/>
      <c r="BM161" s="808"/>
      <c r="BN161" s="808"/>
      <c r="BO161" s="808"/>
      <c r="BP161" s="808"/>
      <c r="BQ161" s="808"/>
      <c r="BR161" s="808"/>
      <c r="BS161" s="808"/>
      <c r="BT161" s="808"/>
      <c r="BU161" s="808"/>
      <c r="BV161" s="808"/>
      <c r="BW161" s="808"/>
      <c r="BX161" s="808"/>
      <c r="BY161" s="808"/>
      <c r="BZ161" s="808"/>
      <c r="CA161" s="808"/>
      <c r="CB161" s="808"/>
      <c r="CC161" s="808"/>
      <c r="CD161" s="808"/>
      <c r="CE161" s="808"/>
      <c r="CF161" s="808"/>
      <c r="CG161" s="808"/>
      <c r="CH161" s="808"/>
      <c r="CI161" s="808"/>
      <c r="CJ161" s="808"/>
      <c r="CK161" s="808"/>
      <c r="CL161" s="808"/>
      <c r="CM161" s="808"/>
      <c r="CN161" s="808"/>
      <c r="CO161" s="808"/>
      <c r="CP161" s="808"/>
      <c r="CQ161" s="808"/>
      <c r="CR161" s="808"/>
      <c r="CS161" s="808"/>
      <c r="CT161" s="808"/>
      <c r="CU161" s="808"/>
      <c r="CV161" s="808"/>
      <c r="CW161" s="808"/>
      <c r="CX161" s="808"/>
      <c r="CY161" s="808"/>
      <c r="CZ161" s="808"/>
      <c r="DA161" s="808"/>
      <c r="DB161" s="808"/>
      <c r="DC161" s="808"/>
      <c r="DD161" s="808"/>
      <c r="DE161" s="808"/>
      <c r="DF161" s="808"/>
      <c r="DG161" s="808"/>
      <c r="DH161" s="808"/>
      <c r="DI161" s="808"/>
      <c r="DJ161" s="808"/>
      <c r="DK161" s="808"/>
      <c r="DL161" s="808"/>
      <c r="DM161" s="808"/>
      <c r="DN161" s="808"/>
      <c r="DO161" s="808"/>
      <c r="DP161" s="808"/>
    </row>
    <row r="162" spans="1:120">
      <c r="A162" s="821"/>
      <c r="B162" s="809" t="s">
        <v>1272</v>
      </c>
      <c r="C162" s="808"/>
      <c r="K162" s="808"/>
      <c r="M162" s="808"/>
      <c r="N162" s="808"/>
      <c r="O162" s="808"/>
      <c r="P162" s="808"/>
      <c r="Q162" s="808"/>
      <c r="R162" s="808"/>
      <c r="S162" s="808"/>
      <c r="T162" s="808"/>
      <c r="U162" s="808"/>
      <c r="V162" s="808"/>
      <c r="W162" s="808"/>
      <c r="X162" s="808"/>
      <c r="Y162" s="808"/>
      <c r="Z162" s="808"/>
      <c r="AA162" s="808"/>
      <c r="AB162" s="808"/>
      <c r="AC162" s="808"/>
      <c r="AD162" s="808"/>
      <c r="AE162" s="808"/>
      <c r="AF162" s="808"/>
      <c r="AG162" s="808"/>
      <c r="AH162" s="808"/>
      <c r="AI162" s="808"/>
      <c r="AJ162" s="808"/>
      <c r="AK162" s="808"/>
      <c r="AL162" s="808"/>
      <c r="AM162" s="808"/>
      <c r="AN162" s="808"/>
      <c r="AO162" s="808"/>
      <c r="AP162" s="808"/>
      <c r="AQ162" s="808"/>
      <c r="AR162" s="808"/>
      <c r="AS162" s="808"/>
      <c r="AT162" s="808"/>
      <c r="AU162" s="808"/>
      <c r="AV162" s="808"/>
      <c r="AW162" s="808"/>
      <c r="AX162" s="808"/>
      <c r="AY162" s="808"/>
      <c r="AZ162" s="808"/>
      <c r="BA162" s="808"/>
      <c r="BB162" s="808"/>
      <c r="BC162" s="808"/>
      <c r="BD162" s="808"/>
      <c r="BE162" s="808"/>
      <c r="BF162" s="808"/>
      <c r="BG162" s="808"/>
      <c r="BH162" s="808"/>
      <c r="BI162" s="808"/>
      <c r="BJ162" s="808"/>
      <c r="BK162" s="808"/>
      <c r="BL162" s="808"/>
      <c r="BM162" s="808"/>
      <c r="BN162" s="808"/>
      <c r="BO162" s="808"/>
      <c r="BP162" s="808"/>
      <c r="BQ162" s="808"/>
      <c r="BR162" s="808"/>
      <c r="BS162" s="808"/>
      <c r="BT162" s="808"/>
      <c r="BU162" s="808"/>
      <c r="BV162" s="808"/>
      <c r="BW162" s="808"/>
      <c r="BX162" s="808"/>
      <c r="BY162" s="808"/>
      <c r="BZ162" s="808"/>
      <c r="CA162" s="808"/>
      <c r="CB162" s="808"/>
      <c r="CC162" s="808"/>
      <c r="CD162" s="808"/>
      <c r="CE162" s="808"/>
      <c r="CF162" s="808"/>
      <c r="CG162" s="808"/>
      <c r="CH162" s="808"/>
      <c r="CI162" s="808"/>
      <c r="CJ162" s="808"/>
      <c r="CK162" s="808"/>
      <c r="CL162" s="808"/>
      <c r="CM162" s="808"/>
      <c r="CN162" s="808"/>
      <c r="CO162" s="808"/>
      <c r="CP162" s="808"/>
      <c r="CQ162" s="808"/>
      <c r="CR162" s="808"/>
      <c r="CS162" s="808"/>
      <c r="CT162" s="808"/>
      <c r="CU162" s="808"/>
      <c r="CV162" s="808"/>
      <c r="CW162" s="808"/>
      <c r="CX162" s="808"/>
      <c r="CY162" s="808"/>
      <c r="CZ162" s="808"/>
      <c r="DA162" s="808"/>
      <c r="DB162" s="808"/>
      <c r="DC162" s="808"/>
      <c r="DD162" s="808"/>
      <c r="DE162" s="808"/>
      <c r="DF162" s="808"/>
      <c r="DG162" s="808"/>
      <c r="DH162" s="808"/>
      <c r="DI162" s="808"/>
      <c r="DJ162" s="808"/>
      <c r="DK162" s="808"/>
      <c r="DL162" s="808"/>
      <c r="DM162" s="808"/>
      <c r="DN162" s="808"/>
      <c r="DO162" s="808"/>
      <c r="DP162" s="808"/>
    </row>
    <row r="163" spans="1:120">
      <c r="A163" s="821"/>
      <c r="B163" s="807"/>
      <c r="C163" s="808"/>
      <c r="E163" s="810" t="s">
        <v>1203</v>
      </c>
      <c r="K163" s="808"/>
      <c r="M163" s="808"/>
      <c r="N163" s="808"/>
      <c r="O163" s="808"/>
      <c r="P163" s="808"/>
      <c r="Q163" s="808"/>
      <c r="R163" s="808"/>
      <c r="S163" s="808"/>
      <c r="T163" s="808"/>
      <c r="U163" s="808"/>
      <c r="V163" s="808"/>
      <c r="W163" s="808"/>
      <c r="X163" s="808"/>
      <c r="Y163" s="808"/>
      <c r="Z163" s="808"/>
      <c r="AA163" s="808"/>
      <c r="AB163" s="808"/>
      <c r="AC163" s="808"/>
      <c r="AD163" s="808"/>
      <c r="AE163" s="808"/>
      <c r="AF163" s="808"/>
      <c r="AG163" s="808"/>
      <c r="AH163" s="808"/>
      <c r="AI163" s="808"/>
      <c r="AJ163" s="808"/>
      <c r="AK163" s="808"/>
      <c r="AL163" s="808"/>
      <c r="AM163" s="808"/>
      <c r="AN163" s="808"/>
      <c r="AO163" s="808"/>
      <c r="AP163" s="808"/>
      <c r="AQ163" s="808"/>
      <c r="AR163" s="808"/>
      <c r="AS163" s="808"/>
      <c r="AT163" s="808"/>
      <c r="AU163" s="808"/>
      <c r="AV163" s="808"/>
      <c r="AW163" s="808"/>
      <c r="AX163" s="808"/>
      <c r="AY163" s="808"/>
      <c r="AZ163" s="808"/>
      <c r="BA163" s="808"/>
      <c r="BB163" s="808"/>
      <c r="BC163" s="808"/>
      <c r="BD163" s="808"/>
      <c r="BE163" s="808"/>
      <c r="BF163" s="808"/>
      <c r="BG163" s="808"/>
      <c r="BH163" s="808"/>
      <c r="BI163" s="808"/>
      <c r="BJ163" s="808"/>
      <c r="BK163" s="808"/>
      <c r="BL163" s="808"/>
      <c r="BM163" s="808"/>
      <c r="BN163" s="808"/>
      <c r="BO163" s="808"/>
      <c r="BP163" s="808"/>
      <c r="BQ163" s="808"/>
      <c r="BR163" s="808"/>
      <c r="BS163" s="808"/>
      <c r="BT163" s="808"/>
      <c r="BU163" s="808"/>
      <c r="BV163" s="808"/>
      <c r="BW163" s="808"/>
      <c r="BX163" s="808"/>
      <c r="BY163" s="808"/>
      <c r="BZ163" s="808"/>
      <c r="CA163" s="808"/>
      <c r="CB163" s="808"/>
      <c r="CC163" s="808"/>
      <c r="CD163" s="808"/>
      <c r="CE163" s="808"/>
      <c r="CF163" s="808"/>
      <c r="CG163" s="808"/>
      <c r="CH163" s="808"/>
      <c r="CI163" s="808"/>
      <c r="CJ163" s="808"/>
      <c r="CK163" s="808"/>
      <c r="CL163" s="808"/>
      <c r="CM163" s="808"/>
      <c r="CN163" s="808"/>
      <c r="CO163" s="808"/>
      <c r="CP163" s="808"/>
      <c r="CQ163" s="808"/>
      <c r="CR163" s="808"/>
      <c r="CS163" s="808"/>
      <c r="CT163" s="808"/>
      <c r="CU163" s="808"/>
      <c r="CV163" s="808"/>
      <c r="CW163" s="808"/>
      <c r="CX163" s="808"/>
      <c r="CY163" s="808"/>
      <c r="CZ163" s="808"/>
      <c r="DA163" s="808"/>
      <c r="DB163" s="808"/>
      <c r="DC163" s="808"/>
      <c r="DD163" s="808"/>
      <c r="DE163" s="808"/>
      <c r="DF163" s="808"/>
      <c r="DG163" s="808"/>
      <c r="DH163" s="808"/>
      <c r="DI163" s="808"/>
      <c r="DJ163" s="808"/>
      <c r="DK163" s="808"/>
      <c r="DL163" s="808"/>
      <c r="DM163" s="808"/>
      <c r="DN163" s="808"/>
      <c r="DO163" s="808"/>
      <c r="DP163" s="808"/>
    </row>
    <row r="164" spans="1:120">
      <c r="A164" s="821"/>
      <c r="B164" s="811" t="s">
        <v>79</v>
      </c>
      <c r="C164" s="811" t="s">
        <v>5</v>
      </c>
      <c r="D164" s="812" t="s">
        <v>195</v>
      </c>
      <c r="E164" s="812" t="s">
        <v>195</v>
      </c>
      <c r="K164" s="808"/>
      <c r="M164" s="808"/>
      <c r="N164" s="808"/>
      <c r="O164" s="808"/>
      <c r="P164" s="808"/>
      <c r="Q164" s="808"/>
      <c r="R164" s="808"/>
      <c r="S164" s="808"/>
      <c r="T164" s="808"/>
      <c r="U164" s="808"/>
      <c r="V164" s="808"/>
      <c r="W164" s="808"/>
      <c r="X164" s="808"/>
      <c r="Y164" s="808"/>
      <c r="Z164" s="808"/>
      <c r="AA164" s="808"/>
      <c r="AB164" s="808"/>
      <c r="AC164" s="808"/>
      <c r="AD164" s="808"/>
      <c r="AE164" s="808"/>
      <c r="AF164" s="808"/>
      <c r="AG164" s="808"/>
      <c r="AH164" s="808"/>
      <c r="AI164" s="808"/>
      <c r="AJ164" s="808"/>
      <c r="AK164" s="808"/>
      <c r="AL164" s="808"/>
      <c r="AM164" s="808"/>
      <c r="AN164" s="808"/>
      <c r="AO164" s="808"/>
      <c r="AP164" s="808"/>
      <c r="AQ164" s="808"/>
      <c r="AR164" s="808"/>
      <c r="AS164" s="808"/>
      <c r="AT164" s="808"/>
      <c r="AU164" s="808"/>
      <c r="AV164" s="808"/>
      <c r="AW164" s="808"/>
      <c r="AX164" s="808"/>
      <c r="AY164" s="808"/>
      <c r="AZ164" s="808"/>
      <c r="BA164" s="808"/>
      <c r="BB164" s="808"/>
      <c r="BC164" s="808"/>
      <c r="BD164" s="808"/>
      <c r="BE164" s="808"/>
      <c r="BF164" s="808"/>
      <c r="BG164" s="808"/>
      <c r="BH164" s="808"/>
      <c r="BI164" s="808"/>
      <c r="BJ164" s="808"/>
      <c r="BK164" s="808"/>
      <c r="BL164" s="808"/>
      <c r="BM164" s="808"/>
      <c r="BN164" s="808"/>
      <c r="BO164" s="808"/>
      <c r="BP164" s="808"/>
      <c r="BQ164" s="808"/>
      <c r="BR164" s="808"/>
      <c r="BS164" s="808"/>
      <c r="BT164" s="808"/>
      <c r="BU164" s="808"/>
      <c r="BV164" s="808"/>
      <c r="BW164" s="808"/>
      <c r="BX164" s="808"/>
      <c r="BY164" s="808"/>
      <c r="BZ164" s="808"/>
      <c r="CA164" s="808"/>
      <c r="CB164" s="808"/>
      <c r="CC164" s="808"/>
      <c r="CD164" s="808"/>
      <c r="CE164" s="808"/>
      <c r="CF164" s="808"/>
      <c r="CG164" s="808"/>
      <c r="CH164" s="808"/>
      <c r="CI164" s="808"/>
      <c r="CJ164" s="808"/>
      <c r="CK164" s="808"/>
      <c r="CL164" s="808"/>
      <c r="CM164" s="808"/>
      <c r="CN164" s="808"/>
      <c r="CO164" s="808"/>
      <c r="CP164" s="808"/>
      <c r="CQ164" s="808"/>
      <c r="CR164" s="808"/>
      <c r="CS164" s="808"/>
      <c r="CT164" s="808"/>
      <c r="CU164" s="808"/>
      <c r="CV164" s="808"/>
      <c r="CW164" s="808"/>
      <c r="CX164" s="808"/>
      <c r="CY164" s="808"/>
      <c r="CZ164" s="808"/>
      <c r="DA164" s="808"/>
      <c r="DB164" s="808"/>
      <c r="DC164" s="808"/>
      <c r="DD164" s="808"/>
      <c r="DE164" s="808"/>
      <c r="DF164" s="808"/>
      <c r="DG164" s="808"/>
      <c r="DH164" s="808"/>
      <c r="DI164" s="808"/>
      <c r="DJ164" s="808"/>
      <c r="DK164" s="808"/>
      <c r="DL164" s="808"/>
      <c r="DM164" s="808"/>
      <c r="DN164" s="808"/>
      <c r="DO164" s="808"/>
      <c r="DP164" s="808"/>
    </row>
    <row r="165" spans="1:120">
      <c r="A165" s="821"/>
      <c r="B165" s="813" t="s">
        <v>1220</v>
      </c>
      <c r="C165" s="814" t="s">
        <v>313</v>
      </c>
      <c r="D165" s="815">
        <v>1905493.2</v>
      </c>
      <c r="E165" s="815">
        <f>+balance!D35/1000</f>
        <v>13906483.842022713</v>
      </c>
      <c r="K165" s="808"/>
      <c r="M165" s="808"/>
      <c r="N165" s="808"/>
      <c r="O165" s="808"/>
      <c r="P165" s="808"/>
      <c r="Q165" s="808"/>
      <c r="R165" s="808"/>
      <c r="S165" s="808"/>
      <c r="T165" s="808"/>
      <c r="U165" s="808"/>
      <c r="V165" s="808"/>
      <c r="W165" s="808"/>
      <c r="X165" s="808"/>
      <c r="Y165" s="808"/>
      <c r="Z165" s="808"/>
      <c r="AA165" s="808"/>
      <c r="AB165" s="808"/>
      <c r="AC165" s="808"/>
      <c r="AD165" s="808"/>
      <c r="AE165" s="808"/>
      <c r="AF165" s="808"/>
      <c r="AG165" s="808"/>
      <c r="AH165" s="808"/>
      <c r="AI165" s="808"/>
      <c r="AJ165" s="808"/>
      <c r="AK165" s="808"/>
      <c r="AL165" s="808"/>
      <c r="AM165" s="808"/>
      <c r="AN165" s="808"/>
      <c r="AO165" s="808"/>
      <c r="AP165" s="808"/>
      <c r="AQ165" s="808"/>
      <c r="AR165" s="808"/>
      <c r="AS165" s="808"/>
      <c r="AT165" s="808"/>
      <c r="AU165" s="808"/>
      <c r="AV165" s="808"/>
      <c r="AW165" s="808"/>
      <c r="AX165" s="808"/>
      <c r="AY165" s="808"/>
      <c r="AZ165" s="808"/>
      <c r="BA165" s="808"/>
      <c r="BB165" s="808"/>
      <c r="BC165" s="808"/>
      <c r="BD165" s="808"/>
      <c r="BE165" s="808"/>
      <c r="BF165" s="808"/>
      <c r="BG165" s="808"/>
      <c r="BH165" s="808"/>
      <c r="BI165" s="808"/>
      <c r="BJ165" s="808"/>
      <c r="BK165" s="808"/>
      <c r="BL165" s="808"/>
      <c r="BM165" s="808"/>
      <c r="BN165" s="808"/>
      <c r="BO165" s="808"/>
      <c r="BP165" s="808"/>
      <c r="BQ165" s="808"/>
      <c r="BR165" s="808"/>
      <c r="BS165" s="808"/>
      <c r="BT165" s="808"/>
      <c r="BU165" s="808"/>
      <c r="BV165" s="808"/>
      <c r="BW165" s="808"/>
      <c r="BX165" s="808"/>
      <c r="BY165" s="808"/>
      <c r="BZ165" s="808"/>
      <c r="CA165" s="808"/>
      <c r="CB165" s="808"/>
      <c r="CC165" s="808"/>
      <c r="CD165" s="808"/>
      <c r="CE165" s="808"/>
      <c r="CF165" s="808"/>
      <c r="CG165" s="808"/>
      <c r="CH165" s="808"/>
      <c r="CI165" s="808"/>
      <c r="CJ165" s="808"/>
      <c r="CK165" s="808"/>
      <c r="CL165" s="808"/>
      <c r="CM165" s="808"/>
      <c r="CN165" s="808"/>
      <c r="CO165" s="808"/>
      <c r="CP165" s="808"/>
      <c r="CQ165" s="808"/>
      <c r="CR165" s="808"/>
      <c r="CS165" s="808"/>
      <c r="CT165" s="808"/>
      <c r="CU165" s="808"/>
      <c r="CV165" s="808"/>
      <c r="CW165" s="808"/>
      <c r="CX165" s="808"/>
      <c r="CY165" s="808"/>
      <c r="CZ165" s="808"/>
      <c r="DA165" s="808"/>
      <c r="DB165" s="808"/>
      <c r="DC165" s="808"/>
      <c r="DD165" s="808"/>
      <c r="DE165" s="808"/>
      <c r="DF165" s="808"/>
      <c r="DG165" s="808"/>
      <c r="DH165" s="808"/>
      <c r="DI165" s="808"/>
      <c r="DJ165" s="808"/>
      <c r="DK165" s="808"/>
      <c r="DL165" s="808"/>
      <c r="DM165" s="808"/>
      <c r="DN165" s="808"/>
      <c r="DO165" s="808"/>
      <c r="DP165" s="808"/>
    </row>
    <row r="166" spans="1:120">
      <c r="A166" s="821"/>
      <c r="B166" s="813" t="s">
        <v>1206</v>
      </c>
      <c r="C166" s="814" t="s">
        <v>314</v>
      </c>
      <c r="D166" s="815">
        <v>0</v>
      </c>
      <c r="E166" s="815">
        <v>0</v>
      </c>
      <c r="K166" s="808"/>
      <c r="M166" s="808"/>
      <c r="N166" s="808"/>
      <c r="O166" s="808"/>
      <c r="P166" s="808"/>
      <c r="Q166" s="808"/>
      <c r="R166" s="808"/>
      <c r="S166" s="808"/>
      <c r="T166" s="808"/>
      <c r="U166" s="808"/>
      <c r="V166" s="808"/>
      <c r="W166" s="808"/>
      <c r="X166" s="808"/>
      <c r="Y166" s="808"/>
      <c r="Z166" s="808"/>
      <c r="AA166" s="808"/>
      <c r="AB166" s="808"/>
      <c r="AC166" s="808"/>
      <c r="AD166" s="808"/>
      <c r="AE166" s="808"/>
      <c r="AF166" s="808"/>
      <c r="AG166" s="808"/>
      <c r="AH166" s="808"/>
      <c r="AI166" s="808"/>
      <c r="AJ166" s="808"/>
      <c r="AK166" s="808"/>
      <c r="AL166" s="808"/>
      <c r="AM166" s="808"/>
      <c r="AN166" s="808"/>
      <c r="AO166" s="808"/>
      <c r="AP166" s="808"/>
      <c r="AQ166" s="808"/>
      <c r="AR166" s="808"/>
      <c r="AS166" s="808"/>
      <c r="AT166" s="808"/>
      <c r="AU166" s="808"/>
      <c r="AV166" s="808"/>
      <c r="AW166" s="808"/>
      <c r="AX166" s="808"/>
      <c r="AY166" s="808"/>
      <c r="AZ166" s="808"/>
      <c r="BA166" s="808"/>
      <c r="BB166" s="808"/>
      <c r="BC166" s="808"/>
      <c r="BD166" s="808"/>
      <c r="BE166" s="808"/>
      <c r="BF166" s="808"/>
      <c r="BG166" s="808"/>
      <c r="BH166" s="808"/>
      <c r="BI166" s="808"/>
      <c r="BJ166" s="808"/>
      <c r="BK166" s="808"/>
      <c r="BL166" s="808"/>
      <c r="BM166" s="808"/>
      <c r="BN166" s="808"/>
      <c r="BO166" s="808"/>
      <c r="BP166" s="808"/>
      <c r="BQ166" s="808"/>
      <c r="BR166" s="808"/>
      <c r="BS166" s="808"/>
      <c r="BT166" s="808"/>
      <c r="BU166" s="808"/>
      <c r="BV166" s="808"/>
      <c r="BW166" s="808"/>
      <c r="BX166" s="808"/>
      <c r="BY166" s="808"/>
      <c r="BZ166" s="808"/>
      <c r="CA166" s="808"/>
      <c r="CB166" s="808"/>
      <c r="CC166" s="808"/>
      <c r="CD166" s="808"/>
      <c r="CE166" s="808"/>
      <c r="CF166" s="808"/>
      <c r="CG166" s="808"/>
      <c r="CH166" s="808"/>
      <c r="CI166" s="808"/>
      <c r="CJ166" s="808"/>
      <c r="CK166" s="808"/>
      <c r="CL166" s="808"/>
      <c r="CM166" s="808"/>
      <c r="CN166" s="808"/>
      <c r="CO166" s="808"/>
      <c r="CP166" s="808"/>
      <c r="CQ166" s="808"/>
      <c r="CR166" s="808"/>
      <c r="CS166" s="808"/>
      <c r="CT166" s="808"/>
      <c r="CU166" s="808"/>
      <c r="CV166" s="808"/>
      <c r="CW166" s="808"/>
      <c r="CX166" s="808"/>
      <c r="CY166" s="808"/>
      <c r="CZ166" s="808"/>
      <c r="DA166" s="808"/>
      <c r="DB166" s="808"/>
      <c r="DC166" s="808"/>
      <c r="DD166" s="808"/>
      <c r="DE166" s="808"/>
      <c r="DF166" s="808"/>
      <c r="DG166" s="808"/>
      <c r="DH166" s="808"/>
      <c r="DI166" s="808"/>
      <c r="DJ166" s="808"/>
      <c r="DK166" s="808"/>
      <c r="DL166" s="808"/>
      <c r="DM166" s="808"/>
      <c r="DN166" s="808"/>
      <c r="DO166" s="808"/>
      <c r="DP166" s="808"/>
    </row>
    <row r="167" spans="1:120">
      <c r="A167" s="821"/>
      <c r="B167" s="813" t="s">
        <v>1273</v>
      </c>
      <c r="C167" s="814"/>
      <c r="D167" s="815">
        <v>0</v>
      </c>
      <c r="E167" s="815">
        <v>0</v>
      </c>
      <c r="K167" s="808"/>
      <c r="M167" s="808"/>
      <c r="N167" s="808"/>
      <c r="O167" s="808"/>
      <c r="P167" s="808"/>
      <c r="Q167" s="808"/>
      <c r="R167" s="808"/>
      <c r="S167" s="808"/>
      <c r="T167" s="808"/>
      <c r="U167" s="808"/>
      <c r="V167" s="808"/>
      <c r="W167" s="808"/>
      <c r="X167" s="808"/>
      <c r="Y167" s="808"/>
      <c r="Z167" s="808"/>
      <c r="AA167" s="808"/>
      <c r="AB167" s="808"/>
      <c r="AC167" s="808"/>
      <c r="AD167" s="808"/>
      <c r="AE167" s="808"/>
      <c r="AF167" s="808"/>
      <c r="AG167" s="808"/>
      <c r="AH167" s="808"/>
      <c r="AI167" s="808"/>
      <c r="AJ167" s="808"/>
      <c r="AK167" s="808"/>
      <c r="AL167" s="808"/>
      <c r="AM167" s="808"/>
      <c r="AN167" s="808"/>
      <c r="AO167" s="808"/>
      <c r="AP167" s="808"/>
      <c r="AQ167" s="808"/>
      <c r="AR167" s="808"/>
      <c r="AS167" s="808"/>
      <c r="AT167" s="808"/>
      <c r="AU167" s="808"/>
      <c r="AV167" s="808"/>
      <c r="AW167" s="808"/>
      <c r="AX167" s="808"/>
      <c r="AY167" s="808"/>
      <c r="AZ167" s="808"/>
      <c r="BA167" s="808"/>
      <c r="BB167" s="808"/>
      <c r="BC167" s="808"/>
      <c r="BD167" s="808"/>
      <c r="BE167" s="808"/>
      <c r="BF167" s="808"/>
      <c r="BG167" s="808"/>
      <c r="BH167" s="808"/>
      <c r="BI167" s="808"/>
      <c r="BJ167" s="808"/>
      <c r="BK167" s="808"/>
      <c r="BL167" s="808"/>
      <c r="BM167" s="808"/>
      <c r="BN167" s="808"/>
      <c r="BO167" s="808"/>
      <c r="BP167" s="808"/>
      <c r="BQ167" s="808"/>
      <c r="BR167" s="808"/>
      <c r="BS167" s="808"/>
      <c r="BT167" s="808"/>
      <c r="BU167" s="808"/>
      <c r="BV167" s="808"/>
      <c r="BW167" s="808"/>
      <c r="BX167" s="808"/>
      <c r="BY167" s="808"/>
      <c r="BZ167" s="808"/>
      <c r="CA167" s="808"/>
      <c r="CB167" s="808"/>
      <c r="CC167" s="808"/>
      <c r="CD167" s="808"/>
      <c r="CE167" s="808"/>
      <c r="CF167" s="808"/>
      <c r="CG167" s="808"/>
      <c r="CH167" s="808"/>
      <c r="CI167" s="808"/>
      <c r="CJ167" s="808"/>
      <c r="CK167" s="808"/>
      <c r="CL167" s="808"/>
      <c r="CM167" s="808"/>
      <c r="CN167" s="808"/>
      <c r="CO167" s="808"/>
      <c r="CP167" s="808"/>
      <c r="CQ167" s="808"/>
      <c r="CR167" s="808"/>
      <c r="CS167" s="808"/>
      <c r="CT167" s="808"/>
      <c r="CU167" s="808"/>
      <c r="CV167" s="808"/>
      <c r="CW167" s="808"/>
      <c r="CX167" s="808"/>
      <c r="CY167" s="808"/>
      <c r="CZ167" s="808"/>
      <c r="DA167" s="808"/>
      <c r="DB167" s="808"/>
      <c r="DC167" s="808"/>
      <c r="DD167" s="808"/>
      <c r="DE167" s="808"/>
      <c r="DF167" s="808"/>
      <c r="DG167" s="808"/>
      <c r="DH167" s="808"/>
      <c r="DI167" s="808"/>
      <c r="DJ167" s="808"/>
      <c r="DK167" s="808"/>
      <c r="DL167" s="808"/>
      <c r="DM167" s="808"/>
      <c r="DN167" s="808"/>
      <c r="DO167" s="808"/>
      <c r="DP167" s="808"/>
    </row>
    <row r="168" spans="1:120">
      <c r="A168" s="821"/>
      <c r="B168" s="813" t="s">
        <v>1201</v>
      </c>
      <c r="C168" s="816" t="s">
        <v>82</v>
      </c>
      <c r="D168" s="815">
        <f>+D165</f>
        <v>1905493.2</v>
      </c>
      <c r="E168" s="815">
        <f>+E165</f>
        <v>13906483.842022713</v>
      </c>
      <c r="K168" s="808"/>
      <c r="M168" s="808"/>
      <c r="N168" s="808"/>
      <c r="O168" s="808"/>
      <c r="P168" s="808"/>
      <c r="Q168" s="808"/>
      <c r="R168" s="808"/>
      <c r="S168" s="808"/>
      <c r="T168" s="808"/>
      <c r="U168" s="808"/>
      <c r="V168" s="808"/>
      <c r="W168" s="808"/>
      <c r="X168" s="808"/>
      <c r="Y168" s="808"/>
      <c r="Z168" s="808"/>
      <c r="AA168" s="808"/>
      <c r="AB168" s="808"/>
      <c r="AC168" s="808"/>
      <c r="AD168" s="808"/>
      <c r="AE168" s="808"/>
      <c r="AF168" s="808"/>
      <c r="AG168" s="808"/>
      <c r="AH168" s="808"/>
      <c r="AI168" s="808"/>
      <c r="AJ168" s="808"/>
      <c r="AK168" s="808"/>
      <c r="AL168" s="808"/>
      <c r="AM168" s="808"/>
      <c r="AN168" s="808"/>
      <c r="AO168" s="808"/>
      <c r="AP168" s="808"/>
      <c r="AQ168" s="808"/>
      <c r="AR168" s="808"/>
      <c r="AS168" s="808"/>
      <c r="AT168" s="808"/>
      <c r="AU168" s="808"/>
      <c r="AV168" s="808"/>
      <c r="AW168" s="808"/>
      <c r="AX168" s="808"/>
      <c r="AY168" s="808"/>
      <c r="AZ168" s="808"/>
      <c r="BA168" s="808"/>
      <c r="BB168" s="808"/>
      <c r="BC168" s="808"/>
      <c r="BD168" s="808"/>
      <c r="BE168" s="808"/>
      <c r="BF168" s="808"/>
      <c r="BG168" s="808"/>
      <c r="BH168" s="808"/>
      <c r="BI168" s="808"/>
      <c r="BJ168" s="808"/>
      <c r="BK168" s="808"/>
      <c r="BL168" s="808"/>
      <c r="BM168" s="808"/>
      <c r="BN168" s="808"/>
      <c r="BO168" s="808"/>
      <c r="BP168" s="808"/>
      <c r="BQ168" s="808"/>
      <c r="BR168" s="808"/>
      <c r="BS168" s="808"/>
      <c r="BT168" s="808"/>
      <c r="BU168" s="808"/>
      <c r="BV168" s="808"/>
      <c r="BW168" s="808"/>
      <c r="BX168" s="808"/>
      <c r="BY168" s="808"/>
      <c r="BZ168" s="808"/>
      <c r="CA168" s="808"/>
      <c r="CB168" s="808"/>
      <c r="CC168" s="808"/>
      <c r="CD168" s="808"/>
      <c r="CE168" s="808"/>
      <c r="CF168" s="808"/>
      <c r="CG168" s="808"/>
      <c r="CH168" s="808"/>
      <c r="CI168" s="808"/>
      <c r="CJ168" s="808"/>
      <c r="CK168" s="808"/>
      <c r="CL168" s="808"/>
      <c r="CM168" s="808"/>
      <c r="CN168" s="808"/>
      <c r="CO168" s="808"/>
      <c r="CP168" s="808"/>
      <c r="CQ168" s="808"/>
      <c r="CR168" s="808"/>
      <c r="CS168" s="808"/>
      <c r="CT168" s="808"/>
      <c r="CU168" s="808"/>
      <c r="CV168" s="808"/>
      <c r="CW168" s="808"/>
      <c r="CX168" s="808"/>
      <c r="CY168" s="808"/>
      <c r="CZ168" s="808"/>
      <c r="DA168" s="808"/>
      <c r="DB168" s="808"/>
      <c r="DC168" s="808"/>
      <c r="DD168" s="808"/>
      <c r="DE168" s="808"/>
      <c r="DF168" s="808"/>
      <c r="DG168" s="808"/>
      <c r="DH168" s="808"/>
      <c r="DI168" s="808"/>
      <c r="DJ168" s="808"/>
      <c r="DK168" s="808"/>
      <c r="DL168" s="808"/>
      <c r="DM168" s="808"/>
      <c r="DN168" s="808"/>
      <c r="DO168" s="808"/>
      <c r="DP168" s="808"/>
    </row>
    <row r="169" spans="1:120">
      <c r="A169" s="821" t="s">
        <v>1201</v>
      </c>
      <c r="B169" s="807" t="s">
        <v>1201</v>
      </c>
      <c r="C169" s="808" t="s">
        <v>1201</v>
      </c>
      <c r="D169" s="214">
        <f>+D168-balance!C35/1000</f>
        <v>1035315.8315830982</v>
      </c>
      <c r="E169" s="214">
        <f>+E168-balance!D35/1000</f>
        <v>0</v>
      </c>
      <c r="K169" s="808"/>
      <c r="M169" s="808"/>
      <c r="N169" s="808"/>
      <c r="O169" s="808"/>
      <c r="P169" s="808"/>
      <c r="Q169" s="808"/>
      <c r="R169" s="808"/>
      <c r="S169" s="808"/>
      <c r="T169" s="808"/>
      <c r="U169" s="808"/>
      <c r="V169" s="808"/>
      <c r="W169" s="808"/>
      <c r="X169" s="808"/>
      <c r="Y169" s="808"/>
      <c r="Z169" s="808"/>
      <c r="AA169" s="808"/>
      <c r="AB169" s="808"/>
      <c r="AC169" s="808"/>
      <c r="AD169" s="808"/>
      <c r="AE169" s="808"/>
      <c r="AF169" s="808"/>
      <c r="AG169" s="808"/>
      <c r="AH169" s="808"/>
      <c r="AI169" s="808"/>
      <c r="AJ169" s="808"/>
      <c r="AK169" s="808"/>
      <c r="AL169" s="808"/>
      <c r="AM169" s="808"/>
      <c r="AN169" s="808"/>
      <c r="AO169" s="808"/>
      <c r="AP169" s="808"/>
      <c r="AQ169" s="808"/>
      <c r="AR169" s="808"/>
      <c r="AS169" s="808"/>
      <c r="AT169" s="808"/>
      <c r="AU169" s="808"/>
      <c r="AV169" s="808"/>
      <c r="AW169" s="808"/>
      <c r="AX169" s="808"/>
      <c r="AY169" s="808"/>
      <c r="AZ169" s="808"/>
      <c r="BA169" s="808"/>
      <c r="BB169" s="808"/>
      <c r="BC169" s="808"/>
      <c r="BD169" s="808"/>
      <c r="BE169" s="808"/>
      <c r="BF169" s="808"/>
      <c r="BG169" s="808"/>
      <c r="BH169" s="808"/>
      <c r="BI169" s="808"/>
      <c r="BJ169" s="808"/>
      <c r="BK169" s="808"/>
      <c r="BL169" s="808"/>
      <c r="BM169" s="808"/>
      <c r="BN169" s="808"/>
      <c r="BO169" s="808"/>
      <c r="BP169" s="984"/>
      <c r="BQ169" s="984"/>
      <c r="BR169" s="984"/>
      <c r="BS169" s="984"/>
      <c r="BT169" s="984"/>
      <c r="BU169" s="984"/>
      <c r="BV169" s="984"/>
      <c r="BW169" s="984"/>
      <c r="BX169" s="984"/>
      <c r="BY169" s="984"/>
      <c r="BZ169" s="984"/>
      <c r="CA169" s="984"/>
      <c r="CB169" s="984"/>
      <c r="CC169" s="984"/>
      <c r="CD169" s="984"/>
      <c r="CE169" s="984"/>
      <c r="CF169" s="984"/>
      <c r="CG169" s="984"/>
      <c r="CH169" s="984"/>
      <c r="CI169" s="984"/>
      <c r="CJ169" s="984"/>
      <c r="CK169" s="984"/>
      <c r="CL169" s="984"/>
      <c r="CM169" s="984"/>
      <c r="CN169" s="984"/>
      <c r="CO169" s="984"/>
      <c r="CP169" s="984"/>
      <c r="CQ169" s="984"/>
      <c r="CR169" s="984"/>
      <c r="CS169" s="984"/>
      <c r="CT169" s="984"/>
      <c r="CU169" s="984"/>
      <c r="CV169" s="984"/>
      <c r="CW169" s="984"/>
      <c r="CX169" s="984"/>
      <c r="CY169" s="984"/>
      <c r="CZ169" s="984"/>
      <c r="DA169" s="984"/>
      <c r="DB169" s="984"/>
      <c r="DC169" s="984"/>
      <c r="DD169" s="984"/>
      <c r="DE169" s="984"/>
      <c r="DF169" s="984"/>
      <c r="DG169" s="984"/>
      <c r="DH169" s="984"/>
      <c r="DI169" s="984"/>
      <c r="DJ169" s="984"/>
      <c r="DK169" s="984"/>
      <c r="DL169" s="984"/>
      <c r="DM169" s="984"/>
      <c r="DN169" s="984"/>
      <c r="DO169" s="984"/>
      <c r="DP169" s="984"/>
    </row>
    <row r="170" spans="1:120">
      <c r="A170" s="821"/>
      <c r="B170" s="809" t="s">
        <v>1274</v>
      </c>
      <c r="C170" s="808"/>
      <c r="K170" s="808"/>
      <c r="M170" s="808"/>
      <c r="N170" s="808"/>
      <c r="O170" s="808"/>
      <c r="P170" s="808"/>
      <c r="Q170" s="808"/>
      <c r="R170" s="808"/>
      <c r="S170" s="808"/>
      <c r="T170" s="808"/>
      <c r="U170" s="808"/>
      <c r="V170" s="808"/>
      <c r="W170" s="808"/>
      <c r="X170" s="808"/>
      <c r="Y170" s="808"/>
      <c r="Z170" s="808"/>
      <c r="AA170" s="808"/>
      <c r="AB170" s="808"/>
      <c r="AC170" s="808"/>
      <c r="AD170" s="808"/>
      <c r="AE170" s="808"/>
      <c r="AF170" s="808"/>
      <c r="AG170" s="808"/>
      <c r="AH170" s="808"/>
      <c r="AI170" s="808"/>
      <c r="AJ170" s="808"/>
      <c r="AK170" s="808"/>
      <c r="AL170" s="808"/>
      <c r="AM170" s="808"/>
      <c r="AN170" s="808"/>
      <c r="AO170" s="808"/>
      <c r="AP170" s="808"/>
      <c r="AQ170" s="808"/>
      <c r="AR170" s="808"/>
      <c r="AS170" s="808"/>
      <c r="AT170" s="808"/>
      <c r="AU170" s="808"/>
      <c r="AV170" s="808"/>
      <c r="AW170" s="808"/>
      <c r="AX170" s="808"/>
      <c r="AY170" s="808"/>
      <c r="AZ170" s="808"/>
      <c r="BA170" s="808"/>
      <c r="BB170" s="808"/>
      <c r="BC170" s="808"/>
      <c r="BD170" s="808"/>
      <c r="BE170" s="808"/>
      <c r="BF170" s="808"/>
      <c r="BG170" s="808"/>
      <c r="BH170" s="808"/>
      <c r="BI170" s="808"/>
      <c r="BJ170" s="808"/>
      <c r="BK170" s="808"/>
      <c r="BL170" s="808"/>
      <c r="BM170" s="808"/>
      <c r="BN170" s="808"/>
      <c r="BO170" s="808"/>
      <c r="BP170" s="808"/>
      <c r="BQ170" s="808"/>
      <c r="BR170" s="808"/>
      <c r="BS170" s="808"/>
      <c r="BT170" s="808"/>
      <c r="BU170" s="808"/>
      <c r="BV170" s="808"/>
      <c r="BW170" s="808"/>
      <c r="BX170" s="808"/>
      <c r="BY170" s="808"/>
      <c r="BZ170" s="808"/>
      <c r="CA170" s="808"/>
      <c r="CB170" s="808"/>
      <c r="CC170" s="808"/>
      <c r="CD170" s="808"/>
      <c r="CE170" s="808"/>
      <c r="CF170" s="808"/>
      <c r="CG170" s="808"/>
      <c r="CH170" s="808"/>
      <c r="CI170" s="808"/>
      <c r="CJ170" s="808"/>
      <c r="CK170" s="808"/>
      <c r="CL170" s="808"/>
      <c r="CM170" s="808"/>
      <c r="CN170" s="808"/>
      <c r="CO170" s="808"/>
      <c r="CP170" s="808"/>
      <c r="CQ170" s="808"/>
      <c r="CR170" s="808"/>
      <c r="CS170" s="808"/>
      <c r="CT170" s="808"/>
      <c r="CU170" s="808"/>
      <c r="CV170" s="808"/>
      <c r="CW170" s="808"/>
      <c r="CX170" s="808"/>
      <c r="CY170" s="808"/>
      <c r="CZ170" s="808"/>
      <c r="DA170" s="808"/>
      <c r="DB170" s="808"/>
      <c r="DC170" s="808"/>
      <c r="DD170" s="808"/>
      <c r="DE170" s="808"/>
      <c r="DF170" s="808"/>
      <c r="DG170" s="808"/>
      <c r="DH170" s="808"/>
      <c r="DI170" s="808"/>
      <c r="DJ170" s="808"/>
      <c r="DK170" s="808"/>
      <c r="DL170" s="808"/>
      <c r="DM170" s="808"/>
      <c r="DN170" s="808"/>
      <c r="DO170" s="808"/>
      <c r="DP170" s="808"/>
    </row>
    <row r="171" spans="1:120">
      <c r="A171" s="821"/>
      <c r="B171" s="807"/>
      <c r="C171" s="808"/>
      <c r="E171" s="810" t="s">
        <v>1203</v>
      </c>
      <c r="K171" s="808"/>
      <c r="M171" s="808"/>
      <c r="N171" s="808"/>
      <c r="O171" s="808"/>
      <c r="P171" s="808"/>
      <c r="Q171" s="808"/>
      <c r="R171" s="808"/>
      <c r="S171" s="808"/>
      <c r="T171" s="808"/>
      <c r="U171" s="808"/>
      <c r="V171" s="808"/>
      <c r="W171" s="808"/>
      <c r="X171" s="808"/>
      <c r="Y171" s="808"/>
      <c r="Z171" s="808"/>
      <c r="AA171" s="808"/>
      <c r="AB171" s="808"/>
      <c r="AC171" s="808"/>
      <c r="AD171" s="808"/>
      <c r="AE171" s="808"/>
      <c r="AF171" s="808"/>
      <c r="AG171" s="808"/>
      <c r="AH171" s="808"/>
      <c r="AI171" s="808"/>
      <c r="AJ171" s="808"/>
      <c r="AK171" s="808"/>
      <c r="AL171" s="808"/>
      <c r="AM171" s="808"/>
      <c r="AN171" s="808"/>
      <c r="AO171" s="808"/>
      <c r="AP171" s="808"/>
      <c r="AQ171" s="808"/>
      <c r="AR171" s="808"/>
      <c r="AS171" s="808"/>
      <c r="AT171" s="808"/>
      <c r="AU171" s="808"/>
      <c r="AV171" s="808"/>
      <c r="AW171" s="808"/>
      <c r="AX171" s="808"/>
      <c r="AY171" s="808"/>
      <c r="AZ171" s="808"/>
      <c r="BA171" s="808"/>
      <c r="BB171" s="808"/>
      <c r="BC171" s="808"/>
      <c r="BD171" s="808"/>
      <c r="BE171" s="808"/>
      <c r="BF171" s="808"/>
      <c r="BG171" s="808"/>
      <c r="BH171" s="808"/>
      <c r="BI171" s="808"/>
      <c r="BJ171" s="808"/>
      <c r="BK171" s="808"/>
      <c r="BL171" s="808"/>
      <c r="BM171" s="808"/>
      <c r="BN171" s="808"/>
      <c r="BO171" s="808"/>
      <c r="BP171" s="808"/>
      <c r="BQ171" s="808"/>
      <c r="BR171" s="808"/>
      <c r="BS171" s="808"/>
      <c r="BT171" s="808"/>
      <c r="BU171" s="808"/>
      <c r="BV171" s="808"/>
      <c r="BW171" s="808"/>
      <c r="BX171" s="808"/>
      <c r="BY171" s="808"/>
      <c r="BZ171" s="808"/>
      <c r="CA171" s="808"/>
      <c r="CB171" s="808"/>
      <c r="CC171" s="808"/>
      <c r="CD171" s="808"/>
      <c r="CE171" s="808"/>
      <c r="CF171" s="808"/>
      <c r="CG171" s="808"/>
      <c r="CH171" s="808"/>
      <c r="CI171" s="808"/>
      <c r="CJ171" s="808"/>
      <c r="CK171" s="808"/>
      <c r="CL171" s="808"/>
      <c r="CM171" s="808"/>
      <c r="CN171" s="808"/>
      <c r="CO171" s="808"/>
      <c r="CP171" s="808"/>
      <c r="CQ171" s="808"/>
      <c r="CR171" s="808"/>
      <c r="CS171" s="808"/>
      <c r="CT171" s="808"/>
      <c r="CU171" s="808"/>
      <c r="CV171" s="808"/>
      <c r="CW171" s="808"/>
      <c r="CX171" s="808"/>
      <c r="CY171" s="808"/>
      <c r="CZ171" s="808"/>
      <c r="DA171" s="808"/>
      <c r="DB171" s="808"/>
      <c r="DC171" s="808"/>
      <c r="DD171" s="808"/>
      <c r="DE171" s="808"/>
      <c r="DF171" s="808"/>
      <c r="DG171" s="808"/>
      <c r="DH171" s="808"/>
      <c r="DI171" s="808"/>
      <c r="DJ171" s="808"/>
      <c r="DK171" s="808"/>
      <c r="DL171" s="808"/>
      <c r="DM171" s="808"/>
      <c r="DN171" s="808"/>
      <c r="DO171" s="808"/>
      <c r="DP171" s="808"/>
    </row>
    <row r="172" spans="1:120">
      <c r="A172" s="821"/>
      <c r="B172" s="811" t="s">
        <v>79</v>
      </c>
      <c r="C172" s="811" t="s">
        <v>5</v>
      </c>
      <c r="D172" s="812" t="s">
        <v>195</v>
      </c>
      <c r="E172" s="812" t="s">
        <v>195</v>
      </c>
      <c r="K172" s="808"/>
      <c r="M172" s="808"/>
      <c r="N172" s="808"/>
      <c r="O172" s="808"/>
      <c r="P172" s="808"/>
      <c r="Q172" s="808"/>
      <c r="R172" s="808"/>
      <c r="S172" s="808"/>
      <c r="T172" s="808"/>
      <c r="U172" s="808"/>
      <c r="V172" s="808"/>
      <c r="W172" s="808"/>
      <c r="X172" s="808"/>
      <c r="Y172" s="808"/>
      <c r="Z172" s="808"/>
      <c r="AA172" s="808"/>
      <c r="AB172" s="808"/>
      <c r="AC172" s="808"/>
      <c r="AD172" s="808"/>
      <c r="AE172" s="808"/>
      <c r="AF172" s="808"/>
      <c r="AG172" s="808"/>
      <c r="AH172" s="808"/>
      <c r="AI172" s="808"/>
      <c r="AJ172" s="808"/>
      <c r="AK172" s="808"/>
      <c r="AL172" s="808"/>
      <c r="AM172" s="808"/>
      <c r="AN172" s="808"/>
      <c r="AO172" s="808"/>
      <c r="AP172" s="808"/>
      <c r="AQ172" s="808"/>
      <c r="AR172" s="808"/>
      <c r="AS172" s="808"/>
      <c r="AT172" s="808"/>
      <c r="AU172" s="808"/>
      <c r="AV172" s="808"/>
      <c r="AW172" s="808"/>
      <c r="AX172" s="808"/>
      <c r="AY172" s="808"/>
      <c r="AZ172" s="808"/>
      <c r="BA172" s="808"/>
      <c r="BB172" s="808"/>
      <c r="BC172" s="808"/>
      <c r="BD172" s="808"/>
      <c r="BE172" s="808"/>
      <c r="BF172" s="808"/>
      <c r="BG172" s="808"/>
      <c r="BH172" s="808"/>
      <c r="BI172" s="808"/>
      <c r="BJ172" s="808"/>
      <c r="BK172" s="808"/>
      <c r="BL172" s="808"/>
      <c r="BM172" s="808"/>
      <c r="BN172" s="808"/>
      <c r="BO172" s="808"/>
      <c r="BP172" s="808"/>
      <c r="BQ172" s="808"/>
      <c r="BR172" s="808"/>
      <c r="BS172" s="808"/>
      <c r="BT172" s="808"/>
      <c r="BU172" s="808"/>
      <c r="BV172" s="808"/>
      <c r="BW172" s="808"/>
      <c r="BX172" s="808"/>
      <c r="BY172" s="808"/>
      <c r="BZ172" s="808"/>
      <c r="CA172" s="808"/>
      <c r="CB172" s="808"/>
      <c r="CC172" s="808"/>
      <c r="CD172" s="808"/>
      <c r="CE172" s="808"/>
      <c r="CF172" s="808"/>
      <c r="CG172" s="808"/>
      <c r="CH172" s="808"/>
      <c r="CI172" s="808"/>
      <c r="CJ172" s="808"/>
      <c r="CK172" s="808"/>
      <c r="CL172" s="808"/>
      <c r="CM172" s="808"/>
      <c r="CN172" s="808"/>
      <c r="CO172" s="808"/>
      <c r="CP172" s="808"/>
      <c r="CQ172" s="808"/>
      <c r="CR172" s="808"/>
      <c r="CS172" s="808"/>
      <c r="CT172" s="808"/>
      <c r="CU172" s="808"/>
      <c r="CV172" s="808"/>
      <c r="CW172" s="808"/>
      <c r="CX172" s="808"/>
      <c r="CY172" s="808"/>
      <c r="CZ172" s="808"/>
      <c r="DA172" s="808"/>
      <c r="DB172" s="808"/>
      <c r="DC172" s="808"/>
      <c r="DD172" s="808"/>
      <c r="DE172" s="808"/>
      <c r="DF172" s="808"/>
      <c r="DG172" s="808"/>
      <c r="DH172" s="808"/>
      <c r="DI172" s="808"/>
      <c r="DJ172" s="808"/>
      <c r="DK172" s="808"/>
      <c r="DL172" s="808"/>
      <c r="DM172" s="808"/>
      <c r="DN172" s="808"/>
      <c r="DO172" s="808"/>
      <c r="DP172" s="808"/>
    </row>
    <row r="173" spans="1:120">
      <c r="A173" s="821"/>
      <c r="B173" s="813" t="s">
        <v>1220</v>
      </c>
      <c r="C173" s="814" t="s">
        <v>1275</v>
      </c>
      <c r="D173" s="815">
        <v>1971409.9</v>
      </c>
      <c r="E173" s="815">
        <f>1755233508.63/1000</f>
        <v>1755233.5086300001</v>
      </c>
      <c r="K173" s="808"/>
      <c r="M173" s="808"/>
      <c r="N173" s="808"/>
      <c r="O173" s="808"/>
      <c r="P173" s="808"/>
      <c r="Q173" s="808"/>
      <c r="R173" s="808"/>
      <c r="S173" s="808"/>
      <c r="T173" s="808"/>
      <c r="U173" s="808"/>
      <c r="V173" s="808"/>
      <c r="W173" s="808"/>
      <c r="X173" s="808"/>
      <c r="Y173" s="808"/>
      <c r="Z173" s="808"/>
      <c r="AA173" s="808"/>
      <c r="AB173" s="808"/>
      <c r="AC173" s="808"/>
      <c r="AD173" s="808"/>
      <c r="AE173" s="808"/>
      <c r="AF173" s="808"/>
      <c r="AG173" s="808"/>
      <c r="AH173" s="808"/>
      <c r="AI173" s="808"/>
      <c r="AJ173" s="808"/>
      <c r="AK173" s="808"/>
      <c r="AL173" s="808"/>
      <c r="AM173" s="808"/>
      <c r="AN173" s="808"/>
      <c r="AO173" s="808"/>
      <c r="AP173" s="808"/>
      <c r="AQ173" s="808"/>
      <c r="AR173" s="808"/>
      <c r="AS173" s="808"/>
      <c r="AT173" s="808"/>
      <c r="AU173" s="808"/>
      <c r="AV173" s="808"/>
      <c r="AW173" s="808"/>
      <c r="AX173" s="808"/>
      <c r="AY173" s="808"/>
      <c r="AZ173" s="808"/>
      <c r="BA173" s="808"/>
      <c r="BB173" s="808"/>
      <c r="BC173" s="808"/>
      <c r="BD173" s="808"/>
      <c r="BE173" s="808"/>
      <c r="BF173" s="808"/>
      <c r="BG173" s="808"/>
      <c r="BH173" s="808"/>
      <c r="BI173" s="808"/>
      <c r="BJ173" s="808"/>
      <c r="BK173" s="808"/>
      <c r="BL173" s="808"/>
      <c r="BM173" s="808"/>
      <c r="BN173" s="808"/>
      <c r="BO173" s="808"/>
      <c r="BP173" s="808"/>
      <c r="BQ173" s="808"/>
      <c r="BR173" s="808"/>
      <c r="BS173" s="808"/>
      <c r="BT173" s="808"/>
      <c r="BU173" s="808"/>
      <c r="BV173" s="808"/>
      <c r="BW173" s="808"/>
      <c r="BX173" s="808"/>
      <c r="BY173" s="808"/>
      <c r="BZ173" s="808"/>
      <c r="CA173" s="808"/>
      <c r="CB173" s="808"/>
      <c r="CC173" s="808"/>
      <c r="CD173" s="808"/>
      <c r="CE173" s="808"/>
      <c r="CF173" s="808"/>
      <c r="CG173" s="808"/>
      <c r="CH173" s="808"/>
      <c r="CI173" s="808"/>
      <c r="CJ173" s="808"/>
      <c r="CK173" s="808"/>
      <c r="CL173" s="808"/>
      <c r="CM173" s="808"/>
      <c r="CN173" s="808"/>
      <c r="CO173" s="808"/>
      <c r="CP173" s="808"/>
      <c r="CQ173" s="808"/>
      <c r="CR173" s="808"/>
      <c r="CS173" s="808"/>
      <c r="CT173" s="808"/>
      <c r="CU173" s="808"/>
      <c r="CV173" s="808"/>
      <c r="CW173" s="808"/>
      <c r="CX173" s="808"/>
      <c r="CY173" s="808"/>
      <c r="CZ173" s="808"/>
      <c r="DA173" s="808"/>
      <c r="DB173" s="808"/>
      <c r="DC173" s="808"/>
      <c r="DD173" s="808"/>
      <c r="DE173" s="808"/>
      <c r="DF173" s="808"/>
      <c r="DG173" s="808"/>
      <c r="DH173" s="808"/>
      <c r="DI173" s="808"/>
      <c r="DJ173" s="808"/>
      <c r="DK173" s="808"/>
      <c r="DL173" s="808"/>
      <c r="DM173" s="808"/>
      <c r="DN173" s="808"/>
      <c r="DO173" s="808"/>
      <c r="DP173" s="808"/>
    </row>
    <row r="174" spans="1:120">
      <c r="A174" s="821"/>
      <c r="B174" s="813" t="s">
        <v>1206</v>
      </c>
      <c r="C174" s="814" t="s">
        <v>1276</v>
      </c>
      <c r="D174" s="815">
        <v>336781.6</v>
      </c>
      <c r="E174" s="815">
        <f>501371081.13/1000</f>
        <v>501371.08113000001</v>
      </c>
      <c r="K174" s="808"/>
      <c r="M174" s="808"/>
      <c r="N174" s="808"/>
      <c r="O174" s="808"/>
      <c r="P174" s="808"/>
      <c r="Q174" s="808"/>
      <c r="R174" s="808"/>
      <c r="S174" s="808"/>
      <c r="T174" s="808"/>
      <c r="U174" s="808"/>
      <c r="V174" s="808"/>
      <c r="W174" s="808"/>
      <c r="X174" s="808"/>
      <c r="Y174" s="808"/>
      <c r="Z174" s="808"/>
      <c r="AA174" s="808"/>
      <c r="AB174" s="808"/>
      <c r="AC174" s="808"/>
      <c r="AD174" s="808"/>
      <c r="AE174" s="808"/>
      <c r="AF174" s="808"/>
      <c r="AG174" s="808"/>
      <c r="AH174" s="808"/>
      <c r="AI174" s="808"/>
      <c r="AJ174" s="808"/>
      <c r="AK174" s="808"/>
      <c r="AL174" s="808"/>
      <c r="AM174" s="808"/>
      <c r="AN174" s="808"/>
      <c r="AO174" s="808"/>
      <c r="AP174" s="808"/>
      <c r="AQ174" s="808"/>
      <c r="AR174" s="808"/>
      <c r="AS174" s="808"/>
      <c r="AT174" s="808"/>
      <c r="AU174" s="808"/>
      <c r="AV174" s="808"/>
      <c r="AW174" s="808"/>
      <c r="AX174" s="808"/>
      <c r="AY174" s="808"/>
      <c r="AZ174" s="808"/>
      <c r="BA174" s="808"/>
      <c r="BB174" s="808"/>
      <c r="BC174" s="808"/>
      <c r="BD174" s="808"/>
      <c r="BE174" s="808"/>
      <c r="BF174" s="808"/>
      <c r="BG174" s="808"/>
      <c r="BH174" s="808"/>
      <c r="BI174" s="808"/>
      <c r="BJ174" s="808"/>
      <c r="BK174" s="808"/>
      <c r="BL174" s="808"/>
      <c r="BM174" s="808"/>
      <c r="BN174" s="808"/>
      <c r="BO174" s="808"/>
      <c r="BP174" s="808"/>
      <c r="BQ174" s="808"/>
      <c r="BR174" s="808"/>
      <c r="BS174" s="808"/>
      <c r="BT174" s="808"/>
      <c r="BU174" s="808"/>
      <c r="BV174" s="808"/>
      <c r="BW174" s="808"/>
      <c r="BX174" s="808"/>
      <c r="BY174" s="808"/>
      <c r="BZ174" s="808"/>
      <c r="CA174" s="808"/>
      <c r="CB174" s="808"/>
      <c r="CC174" s="808"/>
      <c r="CD174" s="808"/>
      <c r="CE174" s="808"/>
      <c r="CF174" s="808"/>
      <c r="CG174" s="808"/>
      <c r="CH174" s="808"/>
      <c r="CI174" s="808"/>
      <c r="CJ174" s="808"/>
      <c r="CK174" s="808"/>
      <c r="CL174" s="808"/>
      <c r="CM174" s="808"/>
      <c r="CN174" s="808"/>
      <c r="CO174" s="808"/>
      <c r="CP174" s="808"/>
      <c r="CQ174" s="808"/>
      <c r="CR174" s="808"/>
      <c r="CS174" s="808"/>
      <c r="CT174" s="808"/>
      <c r="CU174" s="808"/>
      <c r="CV174" s="808"/>
      <c r="CW174" s="808"/>
      <c r="CX174" s="808"/>
      <c r="CY174" s="808"/>
      <c r="CZ174" s="808"/>
      <c r="DA174" s="808"/>
      <c r="DB174" s="808"/>
      <c r="DC174" s="808"/>
      <c r="DD174" s="808"/>
      <c r="DE174" s="808"/>
      <c r="DF174" s="808"/>
      <c r="DG174" s="808"/>
      <c r="DH174" s="808"/>
      <c r="DI174" s="808"/>
      <c r="DJ174" s="808"/>
      <c r="DK174" s="808"/>
      <c r="DL174" s="808"/>
      <c r="DM174" s="808"/>
      <c r="DN174" s="808"/>
      <c r="DO174" s="808"/>
      <c r="DP174" s="808"/>
    </row>
    <row r="175" spans="1:120">
      <c r="A175" s="821"/>
      <c r="B175" s="813" t="s">
        <v>1273</v>
      </c>
      <c r="C175" s="814" t="s">
        <v>1277</v>
      </c>
      <c r="D175" s="815">
        <v>462394.5</v>
      </c>
      <c r="E175" s="815">
        <v>0</v>
      </c>
      <c r="K175" s="808"/>
      <c r="M175" s="808"/>
      <c r="N175" s="808"/>
      <c r="O175" s="808"/>
      <c r="P175" s="808"/>
      <c r="Q175" s="808"/>
      <c r="R175" s="808"/>
      <c r="S175" s="808"/>
      <c r="T175" s="808"/>
      <c r="U175" s="808"/>
      <c r="V175" s="808"/>
      <c r="W175" s="808"/>
      <c r="X175" s="808"/>
      <c r="Y175" s="808"/>
      <c r="Z175" s="808"/>
      <c r="AA175" s="808"/>
      <c r="AB175" s="808"/>
      <c r="AC175" s="808"/>
      <c r="AD175" s="808"/>
      <c r="AE175" s="808"/>
      <c r="AF175" s="808"/>
      <c r="AG175" s="808"/>
      <c r="AH175" s="808"/>
      <c r="AI175" s="808"/>
      <c r="AJ175" s="808"/>
      <c r="AK175" s="808"/>
      <c r="AL175" s="808"/>
      <c r="AM175" s="808"/>
      <c r="AN175" s="808"/>
      <c r="AO175" s="808"/>
      <c r="AP175" s="808"/>
      <c r="AQ175" s="808"/>
      <c r="AR175" s="808"/>
      <c r="AS175" s="808"/>
      <c r="AT175" s="808"/>
      <c r="AU175" s="808"/>
      <c r="AV175" s="808"/>
      <c r="AW175" s="808"/>
      <c r="AX175" s="808"/>
      <c r="AY175" s="808"/>
      <c r="AZ175" s="808"/>
      <c r="BA175" s="808"/>
      <c r="BB175" s="808"/>
      <c r="BC175" s="808"/>
      <c r="BD175" s="808"/>
      <c r="BE175" s="808"/>
      <c r="BF175" s="808"/>
      <c r="BG175" s="808"/>
      <c r="BH175" s="808"/>
      <c r="BI175" s="808"/>
      <c r="BJ175" s="808"/>
      <c r="BK175" s="808"/>
      <c r="BL175" s="808"/>
      <c r="BM175" s="808"/>
      <c r="BN175" s="808"/>
      <c r="BO175" s="808"/>
      <c r="BP175" s="808"/>
      <c r="BQ175" s="808"/>
      <c r="BR175" s="808"/>
      <c r="BS175" s="808"/>
      <c r="BT175" s="808"/>
      <c r="BU175" s="808"/>
      <c r="BV175" s="808"/>
      <c r="BW175" s="808"/>
      <c r="BX175" s="808"/>
      <c r="BY175" s="808"/>
      <c r="BZ175" s="808"/>
      <c r="CA175" s="808"/>
      <c r="CB175" s="808"/>
      <c r="CC175" s="808"/>
      <c r="CD175" s="808"/>
      <c r="CE175" s="808"/>
      <c r="CF175" s="808"/>
      <c r="CG175" s="808"/>
      <c r="CH175" s="808"/>
      <c r="CI175" s="808"/>
      <c r="CJ175" s="808"/>
      <c r="CK175" s="808"/>
      <c r="CL175" s="808"/>
      <c r="CM175" s="808"/>
      <c r="CN175" s="808"/>
      <c r="CO175" s="808"/>
      <c r="CP175" s="808"/>
      <c r="CQ175" s="808"/>
      <c r="CR175" s="808"/>
      <c r="CS175" s="808"/>
      <c r="CT175" s="808"/>
      <c r="CU175" s="808"/>
      <c r="CV175" s="808"/>
      <c r="CW175" s="808"/>
      <c r="CX175" s="808"/>
      <c r="CY175" s="808"/>
      <c r="CZ175" s="808"/>
      <c r="DA175" s="808"/>
      <c r="DB175" s="808"/>
      <c r="DC175" s="808"/>
      <c r="DD175" s="808"/>
      <c r="DE175" s="808"/>
      <c r="DF175" s="808"/>
      <c r="DG175" s="808"/>
      <c r="DH175" s="808"/>
      <c r="DI175" s="808"/>
      <c r="DJ175" s="808"/>
      <c r="DK175" s="808"/>
      <c r="DL175" s="808"/>
      <c r="DM175" s="808"/>
      <c r="DN175" s="808"/>
      <c r="DO175" s="808"/>
      <c r="DP175" s="808"/>
    </row>
    <row r="176" spans="1:120">
      <c r="A176" s="821"/>
      <c r="B176" s="813" t="s">
        <v>1278</v>
      </c>
      <c r="C176" s="814" t="s">
        <v>1279</v>
      </c>
      <c r="D176" s="815">
        <v>0</v>
      </c>
      <c r="E176" s="815">
        <v>0</v>
      </c>
      <c r="K176" s="808"/>
      <c r="M176" s="808"/>
      <c r="N176" s="808"/>
      <c r="O176" s="808"/>
      <c r="P176" s="808"/>
      <c r="Q176" s="808"/>
      <c r="R176" s="808"/>
      <c r="S176" s="808"/>
      <c r="T176" s="808"/>
      <c r="U176" s="808"/>
      <c r="V176" s="808"/>
      <c r="W176" s="808"/>
      <c r="X176" s="808"/>
      <c r="Y176" s="808"/>
      <c r="Z176" s="808"/>
      <c r="AA176" s="808"/>
      <c r="AB176" s="808"/>
      <c r="AC176" s="808"/>
      <c r="AD176" s="808"/>
      <c r="AE176" s="808"/>
      <c r="AF176" s="808"/>
      <c r="AG176" s="808"/>
      <c r="AH176" s="808"/>
      <c r="AI176" s="808"/>
      <c r="AJ176" s="808"/>
      <c r="AK176" s="808"/>
      <c r="AL176" s="808"/>
      <c r="AM176" s="808"/>
      <c r="AN176" s="808"/>
      <c r="AO176" s="808"/>
      <c r="AP176" s="808"/>
      <c r="AQ176" s="808"/>
      <c r="AR176" s="808"/>
      <c r="AS176" s="808"/>
      <c r="AT176" s="808"/>
      <c r="AU176" s="808"/>
      <c r="AV176" s="808"/>
      <c r="AW176" s="808"/>
      <c r="AX176" s="808"/>
      <c r="AY176" s="808"/>
      <c r="AZ176" s="808"/>
      <c r="BA176" s="808"/>
      <c r="BB176" s="808"/>
      <c r="BC176" s="808"/>
      <c r="BD176" s="808"/>
      <c r="BE176" s="808"/>
      <c r="BF176" s="808"/>
      <c r="BG176" s="808"/>
      <c r="BH176" s="808"/>
      <c r="BI176" s="808"/>
      <c r="BJ176" s="808"/>
      <c r="BK176" s="808"/>
      <c r="BL176" s="808"/>
      <c r="BM176" s="808"/>
      <c r="BN176" s="808"/>
      <c r="BO176" s="808"/>
      <c r="BP176" s="808"/>
      <c r="BQ176" s="808"/>
      <c r="BR176" s="808"/>
      <c r="BS176" s="808"/>
      <c r="BT176" s="808"/>
      <c r="BU176" s="808"/>
      <c r="BV176" s="808"/>
      <c r="BW176" s="808"/>
      <c r="BX176" s="808"/>
      <c r="BY176" s="808"/>
      <c r="BZ176" s="808"/>
      <c r="CA176" s="808"/>
      <c r="CB176" s="808"/>
      <c r="CC176" s="808"/>
      <c r="CD176" s="808"/>
      <c r="CE176" s="808"/>
      <c r="CF176" s="808"/>
      <c r="CG176" s="808"/>
      <c r="CH176" s="808"/>
      <c r="CI176" s="808"/>
      <c r="CJ176" s="808"/>
      <c r="CK176" s="808"/>
      <c r="CL176" s="808"/>
      <c r="CM176" s="808"/>
      <c r="CN176" s="808"/>
      <c r="CO176" s="808"/>
      <c r="CP176" s="808"/>
      <c r="CQ176" s="808"/>
      <c r="CR176" s="808"/>
      <c r="CS176" s="808"/>
      <c r="CT176" s="808"/>
      <c r="CU176" s="808"/>
      <c r="CV176" s="808"/>
      <c r="CW176" s="808"/>
      <c r="CX176" s="808"/>
      <c r="CY176" s="808"/>
      <c r="CZ176" s="808"/>
      <c r="DA176" s="808"/>
      <c r="DB176" s="808"/>
      <c r="DC176" s="808"/>
      <c r="DD176" s="808"/>
      <c r="DE176" s="808"/>
      <c r="DF176" s="808"/>
      <c r="DG176" s="808"/>
      <c r="DH176" s="808"/>
      <c r="DI176" s="808"/>
      <c r="DJ176" s="808"/>
      <c r="DK176" s="808"/>
      <c r="DL176" s="808"/>
      <c r="DM176" s="808"/>
      <c r="DN176" s="808"/>
      <c r="DO176" s="808"/>
      <c r="DP176" s="808"/>
    </row>
    <row r="177" spans="1:120">
      <c r="A177" s="821"/>
      <c r="B177" s="813" t="s">
        <v>1280</v>
      </c>
      <c r="C177" s="814" t="s">
        <v>1281</v>
      </c>
      <c r="D177" s="815">
        <v>0</v>
      </c>
      <c r="E177" s="815">
        <v>0</v>
      </c>
      <c r="K177" s="808"/>
      <c r="M177" s="808"/>
      <c r="N177" s="808"/>
      <c r="O177" s="808"/>
      <c r="P177" s="808"/>
      <c r="Q177" s="808"/>
      <c r="R177" s="808"/>
      <c r="S177" s="808"/>
      <c r="T177" s="808"/>
      <c r="U177" s="808"/>
      <c r="V177" s="808"/>
      <c r="W177" s="808"/>
      <c r="X177" s="808"/>
      <c r="Y177" s="808"/>
      <c r="Z177" s="808"/>
      <c r="AA177" s="808"/>
      <c r="AB177" s="808"/>
      <c r="AC177" s="808"/>
      <c r="AD177" s="808"/>
      <c r="AE177" s="808"/>
      <c r="AF177" s="808"/>
      <c r="AG177" s="808"/>
      <c r="AH177" s="808"/>
      <c r="AI177" s="808"/>
      <c r="AJ177" s="808"/>
      <c r="AK177" s="808"/>
      <c r="AL177" s="808"/>
      <c r="AM177" s="808"/>
      <c r="AN177" s="808"/>
      <c r="AO177" s="808"/>
      <c r="AP177" s="808"/>
      <c r="AQ177" s="808"/>
      <c r="AR177" s="808"/>
      <c r="AS177" s="808"/>
      <c r="AT177" s="808"/>
      <c r="AU177" s="808"/>
      <c r="AV177" s="808"/>
      <c r="AW177" s="808"/>
      <c r="AX177" s="808"/>
      <c r="AY177" s="808"/>
      <c r="AZ177" s="808"/>
      <c r="BA177" s="808"/>
      <c r="BB177" s="808"/>
      <c r="BC177" s="808"/>
      <c r="BD177" s="808"/>
      <c r="BE177" s="808"/>
      <c r="BF177" s="808"/>
      <c r="BG177" s="808"/>
      <c r="BH177" s="808"/>
      <c r="BI177" s="808"/>
      <c r="BJ177" s="808"/>
      <c r="BK177" s="808"/>
      <c r="BL177" s="808"/>
      <c r="BM177" s="808"/>
      <c r="BN177" s="808"/>
      <c r="BO177" s="808"/>
      <c r="BP177" s="808"/>
      <c r="BQ177" s="808"/>
      <c r="BR177" s="808"/>
      <c r="BS177" s="808"/>
      <c r="BT177" s="808"/>
      <c r="BU177" s="808"/>
      <c r="BV177" s="808"/>
      <c r="BW177" s="808"/>
      <c r="BX177" s="808"/>
      <c r="BY177" s="808"/>
      <c r="BZ177" s="808"/>
      <c r="CA177" s="808"/>
      <c r="CB177" s="808"/>
      <c r="CC177" s="808"/>
      <c r="CD177" s="808"/>
      <c r="CE177" s="808"/>
      <c r="CF177" s="808"/>
      <c r="CG177" s="808"/>
      <c r="CH177" s="808"/>
      <c r="CI177" s="808"/>
      <c r="CJ177" s="808"/>
      <c r="CK177" s="808"/>
      <c r="CL177" s="808"/>
      <c r="CM177" s="808"/>
      <c r="CN177" s="808"/>
      <c r="CO177" s="808"/>
      <c r="CP177" s="808"/>
      <c r="CQ177" s="808"/>
      <c r="CR177" s="808"/>
      <c r="CS177" s="808"/>
      <c r="CT177" s="808"/>
      <c r="CU177" s="808"/>
      <c r="CV177" s="808"/>
      <c r="CW177" s="808"/>
      <c r="CX177" s="808"/>
      <c r="CY177" s="808"/>
      <c r="CZ177" s="808"/>
      <c r="DA177" s="808"/>
      <c r="DB177" s="808"/>
      <c r="DC177" s="808"/>
      <c r="DD177" s="808"/>
      <c r="DE177" s="808"/>
      <c r="DF177" s="808"/>
      <c r="DG177" s="808"/>
      <c r="DH177" s="808"/>
      <c r="DI177" s="808"/>
      <c r="DJ177" s="808"/>
      <c r="DK177" s="808"/>
      <c r="DL177" s="808"/>
      <c r="DM177" s="808"/>
      <c r="DN177" s="808"/>
      <c r="DO177" s="808"/>
      <c r="DP177" s="808"/>
    </row>
    <row r="178" spans="1:120">
      <c r="A178" s="821"/>
      <c r="B178" s="813" t="s">
        <v>1282</v>
      </c>
      <c r="C178" s="814" t="s">
        <v>1269</v>
      </c>
      <c r="D178" s="815">
        <v>0</v>
      </c>
      <c r="E178" s="851">
        <v>24480.68</v>
      </c>
      <c r="K178" s="808"/>
      <c r="M178" s="808"/>
      <c r="N178" s="808"/>
      <c r="O178" s="808"/>
      <c r="P178" s="808"/>
      <c r="Q178" s="808"/>
      <c r="R178" s="808"/>
      <c r="S178" s="808"/>
      <c r="T178" s="808"/>
      <c r="U178" s="808"/>
      <c r="V178" s="808"/>
      <c r="W178" s="808"/>
      <c r="X178" s="808"/>
      <c r="Y178" s="808"/>
      <c r="Z178" s="808"/>
      <c r="AA178" s="808"/>
      <c r="AB178" s="808"/>
      <c r="AC178" s="808"/>
      <c r="AD178" s="808"/>
      <c r="AE178" s="808"/>
      <c r="AF178" s="808"/>
      <c r="AG178" s="808"/>
      <c r="AH178" s="808"/>
      <c r="AI178" s="808"/>
      <c r="AJ178" s="808"/>
      <c r="AK178" s="808"/>
      <c r="AL178" s="808"/>
      <c r="AM178" s="808"/>
      <c r="AN178" s="808"/>
      <c r="AO178" s="808"/>
      <c r="AP178" s="808"/>
      <c r="AQ178" s="808"/>
      <c r="AR178" s="808"/>
      <c r="AS178" s="808"/>
      <c r="AT178" s="808"/>
      <c r="AU178" s="808"/>
      <c r="AV178" s="808"/>
      <c r="AW178" s="808"/>
      <c r="AX178" s="808"/>
      <c r="AY178" s="808"/>
      <c r="AZ178" s="808"/>
      <c r="BA178" s="808"/>
      <c r="BB178" s="808"/>
      <c r="BC178" s="808"/>
      <c r="BD178" s="808"/>
      <c r="BE178" s="808"/>
      <c r="BF178" s="808"/>
      <c r="BG178" s="808"/>
      <c r="BH178" s="808"/>
      <c r="BI178" s="808"/>
      <c r="BJ178" s="808"/>
      <c r="BK178" s="808"/>
      <c r="BL178" s="808"/>
      <c r="BM178" s="808"/>
      <c r="BN178" s="808"/>
      <c r="BO178" s="808"/>
      <c r="BP178" s="808"/>
      <c r="BQ178" s="808"/>
      <c r="BR178" s="808"/>
      <c r="BS178" s="808"/>
      <c r="BT178" s="808"/>
      <c r="BU178" s="808"/>
      <c r="BV178" s="808"/>
      <c r="BW178" s="808"/>
      <c r="BX178" s="808"/>
      <c r="BY178" s="808"/>
      <c r="BZ178" s="808"/>
      <c r="CA178" s="808"/>
      <c r="CB178" s="808"/>
      <c r="CC178" s="808"/>
      <c r="CD178" s="808"/>
      <c r="CE178" s="808"/>
      <c r="CF178" s="808"/>
      <c r="CG178" s="808"/>
      <c r="CH178" s="808"/>
      <c r="CI178" s="808"/>
      <c r="CJ178" s="808"/>
      <c r="CK178" s="808"/>
      <c r="CL178" s="808"/>
      <c r="CM178" s="808"/>
      <c r="CN178" s="808"/>
      <c r="CO178" s="808"/>
      <c r="CP178" s="808"/>
      <c r="CQ178" s="808"/>
      <c r="CR178" s="808"/>
      <c r="CS178" s="808"/>
      <c r="CT178" s="808"/>
      <c r="CU178" s="808"/>
      <c r="CV178" s="808"/>
      <c r="CW178" s="808"/>
      <c r="CX178" s="808"/>
      <c r="CY178" s="808"/>
      <c r="CZ178" s="808"/>
      <c r="DA178" s="808"/>
      <c r="DB178" s="808"/>
      <c r="DC178" s="808"/>
      <c r="DD178" s="808"/>
      <c r="DE178" s="808"/>
      <c r="DF178" s="808"/>
      <c r="DG178" s="808"/>
      <c r="DH178" s="808"/>
      <c r="DI178" s="808"/>
      <c r="DJ178" s="808"/>
      <c r="DK178" s="808"/>
      <c r="DL178" s="808"/>
      <c r="DM178" s="808"/>
      <c r="DN178" s="808"/>
      <c r="DO178" s="808"/>
      <c r="DP178" s="808"/>
    </row>
    <row r="179" spans="1:120">
      <c r="A179" s="821"/>
      <c r="B179" s="813" t="s">
        <v>1282</v>
      </c>
      <c r="C179" s="814"/>
      <c r="D179" s="815">
        <v>0</v>
      </c>
      <c r="E179" s="815">
        <v>0</v>
      </c>
      <c r="K179" s="808"/>
      <c r="M179" s="808"/>
      <c r="N179" s="808"/>
      <c r="O179" s="808"/>
      <c r="P179" s="808"/>
      <c r="Q179" s="808"/>
      <c r="R179" s="808"/>
      <c r="S179" s="808"/>
      <c r="T179" s="808"/>
      <c r="U179" s="808"/>
      <c r="V179" s="808"/>
      <c r="W179" s="808"/>
      <c r="X179" s="808"/>
      <c r="Y179" s="808"/>
      <c r="Z179" s="808"/>
      <c r="AA179" s="808"/>
      <c r="AB179" s="808"/>
      <c r="AC179" s="808"/>
      <c r="AD179" s="808"/>
      <c r="AE179" s="808"/>
      <c r="AF179" s="808"/>
      <c r="AG179" s="808"/>
      <c r="AH179" s="808"/>
      <c r="AI179" s="808"/>
      <c r="AJ179" s="808"/>
      <c r="AK179" s="808"/>
      <c r="AL179" s="808"/>
      <c r="AM179" s="808"/>
      <c r="AN179" s="808"/>
      <c r="AO179" s="808"/>
      <c r="AP179" s="808"/>
      <c r="AQ179" s="808"/>
      <c r="AR179" s="808"/>
      <c r="AS179" s="808"/>
      <c r="AT179" s="808"/>
      <c r="AU179" s="808"/>
      <c r="AV179" s="808"/>
      <c r="AW179" s="808"/>
      <c r="AX179" s="808"/>
      <c r="AY179" s="808"/>
      <c r="AZ179" s="808"/>
      <c r="BA179" s="808"/>
      <c r="BB179" s="808"/>
      <c r="BC179" s="808"/>
      <c r="BD179" s="808"/>
      <c r="BE179" s="808"/>
      <c r="BF179" s="808"/>
      <c r="BG179" s="808"/>
      <c r="BH179" s="808"/>
      <c r="BI179" s="808"/>
      <c r="BJ179" s="808"/>
      <c r="BK179" s="808"/>
      <c r="BL179" s="808"/>
      <c r="BM179" s="808"/>
      <c r="BN179" s="808"/>
      <c r="BO179" s="808"/>
      <c r="BP179" s="808"/>
      <c r="BQ179" s="808"/>
      <c r="BR179" s="808"/>
      <c r="BS179" s="808"/>
      <c r="BT179" s="808"/>
      <c r="BU179" s="808"/>
      <c r="BV179" s="808"/>
      <c r="BW179" s="808"/>
      <c r="BX179" s="808"/>
      <c r="BY179" s="808"/>
      <c r="BZ179" s="808"/>
      <c r="CA179" s="808"/>
      <c r="CB179" s="808"/>
      <c r="CC179" s="808"/>
      <c r="CD179" s="808"/>
      <c r="CE179" s="808"/>
      <c r="CF179" s="808"/>
      <c r="CG179" s="808"/>
      <c r="CH179" s="808"/>
      <c r="CI179" s="808"/>
      <c r="CJ179" s="808"/>
      <c r="CK179" s="808"/>
      <c r="CL179" s="808"/>
      <c r="CM179" s="808"/>
      <c r="CN179" s="808"/>
      <c r="CO179" s="808"/>
      <c r="CP179" s="808"/>
      <c r="CQ179" s="808"/>
      <c r="CR179" s="808"/>
      <c r="CS179" s="808"/>
      <c r="CT179" s="808"/>
      <c r="CU179" s="808"/>
      <c r="CV179" s="808"/>
      <c r="CW179" s="808"/>
      <c r="CX179" s="808"/>
      <c r="CY179" s="808"/>
      <c r="CZ179" s="808"/>
      <c r="DA179" s="808"/>
      <c r="DB179" s="808"/>
      <c r="DC179" s="808"/>
      <c r="DD179" s="808"/>
      <c r="DE179" s="808"/>
      <c r="DF179" s="808"/>
      <c r="DG179" s="808"/>
      <c r="DH179" s="808"/>
      <c r="DI179" s="808"/>
      <c r="DJ179" s="808"/>
      <c r="DK179" s="808"/>
      <c r="DL179" s="808"/>
      <c r="DM179" s="808"/>
      <c r="DN179" s="808"/>
      <c r="DO179" s="808"/>
      <c r="DP179" s="808"/>
    </row>
    <row r="180" spans="1:120">
      <c r="A180" s="821"/>
      <c r="B180" s="813" t="s">
        <v>1201</v>
      </c>
      <c r="C180" s="816" t="s">
        <v>82</v>
      </c>
      <c r="D180" s="815">
        <f>SUM(D173:D179)</f>
        <v>2770586</v>
      </c>
      <c r="E180" s="815">
        <f>SUM(E173:E179)</f>
        <v>2281085.2697600001</v>
      </c>
      <c r="F180" s="214" t="e">
        <f>+balance!#REF!</f>
        <v>#REF!</v>
      </c>
      <c r="K180" s="808"/>
      <c r="M180" s="808"/>
      <c r="N180" s="808"/>
      <c r="O180" s="808"/>
      <c r="P180" s="808"/>
      <c r="Q180" s="808"/>
      <c r="R180" s="808"/>
      <c r="S180" s="808"/>
      <c r="T180" s="808"/>
      <c r="U180" s="808"/>
      <c r="V180" s="808"/>
      <c r="W180" s="808"/>
      <c r="X180" s="808"/>
      <c r="Y180" s="808"/>
      <c r="Z180" s="808"/>
      <c r="AA180" s="808"/>
      <c r="AB180" s="808"/>
      <c r="AC180" s="808"/>
      <c r="AD180" s="808"/>
      <c r="AE180" s="808"/>
      <c r="AF180" s="808"/>
      <c r="AG180" s="808"/>
      <c r="AH180" s="808"/>
      <c r="AI180" s="808"/>
      <c r="AJ180" s="808"/>
      <c r="AK180" s="808"/>
      <c r="AL180" s="808"/>
      <c r="AM180" s="808"/>
      <c r="AN180" s="808"/>
      <c r="AO180" s="808"/>
      <c r="AP180" s="808"/>
      <c r="AQ180" s="808"/>
      <c r="AR180" s="808"/>
      <c r="AS180" s="808"/>
      <c r="AT180" s="808"/>
      <c r="AU180" s="808"/>
      <c r="AV180" s="808"/>
      <c r="AW180" s="808"/>
      <c r="AX180" s="808"/>
      <c r="AY180" s="808"/>
      <c r="AZ180" s="808"/>
      <c r="BA180" s="808"/>
      <c r="BB180" s="808"/>
      <c r="BC180" s="808"/>
      <c r="BD180" s="808"/>
      <c r="BE180" s="808"/>
      <c r="BF180" s="808"/>
      <c r="BG180" s="808"/>
      <c r="BH180" s="808"/>
      <c r="BI180" s="808"/>
      <c r="BJ180" s="808"/>
      <c r="BK180" s="808"/>
      <c r="BL180" s="808"/>
      <c r="BM180" s="808"/>
      <c r="BN180" s="808"/>
      <c r="BO180" s="808"/>
      <c r="BP180" s="808"/>
      <c r="BQ180" s="808"/>
      <c r="BR180" s="808"/>
      <c r="BS180" s="808"/>
      <c r="BT180" s="808"/>
      <c r="BU180" s="808"/>
      <c r="BV180" s="808"/>
      <c r="BW180" s="808"/>
      <c r="BX180" s="808"/>
      <c r="BY180" s="808"/>
      <c r="BZ180" s="808"/>
      <c r="CA180" s="808"/>
      <c r="CB180" s="808"/>
      <c r="CC180" s="808"/>
      <c r="CD180" s="808"/>
      <c r="CE180" s="808"/>
      <c r="CF180" s="808"/>
      <c r="CG180" s="808"/>
      <c r="CH180" s="808"/>
      <c r="CI180" s="808"/>
      <c r="CJ180" s="808"/>
      <c r="CK180" s="808"/>
      <c r="CL180" s="808"/>
      <c r="CM180" s="808"/>
      <c r="CN180" s="808"/>
      <c r="CO180" s="808"/>
      <c r="CP180" s="808"/>
      <c r="CQ180" s="808"/>
      <c r="CR180" s="808"/>
      <c r="CS180" s="808"/>
      <c r="CT180" s="808"/>
      <c r="CU180" s="808"/>
      <c r="CV180" s="808"/>
      <c r="CW180" s="808"/>
      <c r="CX180" s="808"/>
      <c r="CY180" s="808"/>
      <c r="CZ180" s="808"/>
      <c r="DA180" s="808"/>
      <c r="DB180" s="808"/>
      <c r="DC180" s="808"/>
      <c r="DD180" s="808"/>
      <c r="DE180" s="808"/>
      <c r="DF180" s="808"/>
      <c r="DG180" s="808"/>
      <c r="DH180" s="808"/>
      <c r="DI180" s="808"/>
      <c r="DJ180" s="808"/>
      <c r="DK180" s="808"/>
      <c r="DL180" s="808"/>
      <c r="DM180" s="808"/>
      <c r="DN180" s="808"/>
      <c r="DO180" s="808"/>
      <c r="DP180" s="808"/>
    </row>
    <row r="181" spans="1:120">
      <c r="A181" s="821" t="s">
        <v>1201</v>
      </c>
      <c r="B181" s="807" t="s">
        <v>1201</v>
      </c>
      <c r="C181" s="808" t="s">
        <v>1201</v>
      </c>
      <c r="E181" s="214">
        <f>+E180-balance!D37/1000</f>
        <v>-5324098.4993380923</v>
      </c>
      <c r="F181" s="214" t="e">
        <f>+F180-E180</f>
        <v>#REF!</v>
      </c>
      <c r="K181" s="808"/>
      <c r="M181" s="808"/>
      <c r="N181" s="808"/>
      <c r="O181" s="808"/>
      <c r="P181" s="808"/>
      <c r="Q181" s="808"/>
      <c r="R181" s="808"/>
      <c r="S181" s="808"/>
      <c r="T181" s="808"/>
      <c r="U181" s="808"/>
      <c r="V181" s="808"/>
      <c r="W181" s="808"/>
      <c r="X181" s="808"/>
      <c r="Y181" s="808"/>
      <c r="Z181" s="808"/>
      <c r="AA181" s="808"/>
      <c r="AB181" s="808"/>
      <c r="AC181" s="808"/>
      <c r="AD181" s="808"/>
      <c r="AE181" s="808"/>
      <c r="AF181" s="808"/>
      <c r="AG181" s="808"/>
      <c r="AH181" s="808"/>
      <c r="AI181" s="808"/>
      <c r="AJ181" s="808"/>
      <c r="AK181" s="808"/>
      <c r="AL181" s="808"/>
      <c r="AM181" s="808"/>
      <c r="AN181" s="808"/>
      <c r="AO181" s="808"/>
      <c r="AP181" s="808"/>
      <c r="AQ181" s="808"/>
      <c r="AR181" s="808"/>
      <c r="AS181" s="808"/>
      <c r="AT181" s="808"/>
      <c r="AU181" s="808"/>
      <c r="AV181" s="808"/>
      <c r="AW181" s="808"/>
      <c r="AX181" s="808"/>
      <c r="AY181" s="808"/>
      <c r="AZ181" s="808"/>
      <c r="BA181" s="808"/>
      <c r="BB181" s="808"/>
      <c r="BC181" s="808"/>
      <c r="BD181" s="808"/>
      <c r="BE181" s="808"/>
      <c r="BF181" s="808"/>
      <c r="BG181" s="808"/>
      <c r="BH181" s="808"/>
      <c r="BI181" s="808"/>
      <c r="BJ181" s="808"/>
      <c r="BK181" s="808"/>
      <c r="BL181" s="808"/>
      <c r="BM181" s="808"/>
      <c r="BN181" s="808"/>
      <c r="BO181" s="808"/>
      <c r="BP181" s="984"/>
      <c r="BQ181" s="984"/>
      <c r="BR181" s="984"/>
      <c r="BS181" s="984"/>
      <c r="BT181" s="984"/>
      <c r="BU181" s="984"/>
      <c r="BV181" s="984"/>
      <c r="BW181" s="984"/>
      <c r="BX181" s="984"/>
      <c r="BY181" s="984"/>
      <c r="BZ181" s="984"/>
      <c r="CA181" s="984"/>
      <c r="CB181" s="984"/>
      <c r="CC181" s="984"/>
      <c r="CD181" s="984"/>
      <c r="CE181" s="984"/>
      <c r="CF181" s="984"/>
      <c r="CG181" s="984"/>
      <c r="CH181" s="984"/>
      <c r="CI181" s="984"/>
      <c r="CJ181" s="984"/>
      <c r="CK181" s="984"/>
      <c r="CL181" s="984"/>
      <c r="CM181" s="984"/>
      <c r="CN181" s="984"/>
      <c r="CO181" s="984"/>
      <c r="CP181" s="984"/>
      <c r="CQ181" s="984"/>
      <c r="CR181" s="984"/>
      <c r="CS181" s="984"/>
      <c r="CT181" s="984"/>
      <c r="CU181" s="984"/>
      <c r="CV181" s="984"/>
      <c r="CW181" s="984"/>
      <c r="CX181" s="984"/>
      <c r="CY181" s="984"/>
      <c r="CZ181" s="984"/>
      <c r="DA181" s="984"/>
      <c r="DB181" s="984"/>
      <c r="DC181" s="984"/>
      <c r="DD181" s="984"/>
      <c r="DE181" s="984"/>
      <c r="DF181" s="984"/>
      <c r="DG181" s="984"/>
      <c r="DH181" s="984"/>
      <c r="DI181" s="984"/>
      <c r="DJ181" s="984"/>
      <c r="DK181" s="984"/>
      <c r="DL181" s="984"/>
      <c r="DM181" s="984"/>
      <c r="DN181" s="984"/>
      <c r="DO181" s="984"/>
      <c r="DP181" s="984"/>
    </row>
    <row r="182" spans="1:120">
      <c r="A182" s="821"/>
      <c r="B182" s="809" t="s">
        <v>1283</v>
      </c>
      <c r="C182" s="808"/>
      <c r="K182" s="808"/>
      <c r="M182" s="808"/>
      <c r="N182" s="808"/>
      <c r="O182" s="808"/>
      <c r="P182" s="808"/>
      <c r="Q182" s="808"/>
      <c r="R182" s="808"/>
      <c r="S182" s="808"/>
      <c r="T182" s="808"/>
      <c r="U182" s="808"/>
      <c r="V182" s="808"/>
      <c r="W182" s="808"/>
      <c r="X182" s="808"/>
      <c r="Y182" s="808"/>
      <c r="Z182" s="808"/>
      <c r="AA182" s="808"/>
      <c r="AB182" s="808"/>
      <c r="AC182" s="808"/>
      <c r="AD182" s="808"/>
      <c r="AE182" s="808"/>
      <c r="AF182" s="808"/>
      <c r="AG182" s="808"/>
      <c r="AH182" s="808"/>
      <c r="AI182" s="808"/>
      <c r="AJ182" s="808"/>
      <c r="AK182" s="808"/>
      <c r="AL182" s="808"/>
      <c r="AM182" s="808"/>
      <c r="AN182" s="808"/>
      <c r="AO182" s="808"/>
      <c r="AP182" s="808"/>
      <c r="AQ182" s="808"/>
      <c r="AR182" s="808"/>
      <c r="AS182" s="808"/>
      <c r="AT182" s="808"/>
      <c r="AU182" s="808"/>
      <c r="AV182" s="808"/>
      <c r="AW182" s="808"/>
      <c r="AX182" s="808"/>
      <c r="AY182" s="808"/>
      <c r="AZ182" s="808"/>
      <c r="BA182" s="808"/>
      <c r="BB182" s="808"/>
      <c r="BC182" s="808"/>
      <c r="BD182" s="808"/>
      <c r="BE182" s="808"/>
      <c r="BF182" s="808"/>
      <c r="BG182" s="808"/>
      <c r="BH182" s="808"/>
      <c r="BI182" s="808"/>
      <c r="BJ182" s="808"/>
      <c r="BK182" s="808"/>
      <c r="BL182" s="808"/>
      <c r="BM182" s="808"/>
      <c r="BN182" s="808"/>
      <c r="BO182" s="808"/>
      <c r="BP182" s="808"/>
      <c r="BQ182" s="808"/>
      <c r="BR182" s="808"/>
      <c r="BS182" s="808"/>
      <c r="BT182" s="808"/>
      <c r="BU182" s="808"/>
      <c r="BV182" s="808"/>
      <c r="BW182" s="808"/>
      <c r="BX182" s="808"/>
      <c r="BY182" s="808"/>
      <c r="BZ182" s="808"/>
      <c r="CA182" s="808"/>
      <c r="CB182" s="808"/>
      <c r="CC182" s="808"/>
      <c r="CD182" s="808"/>
      <c r="CE182" s="808"/>
      <c r="CF182" s="808"/>
      <c r="CG182" s="808"/>
      <c r="CH182" s="808"/>
      <c r="CI182" s="808"/>
      <c r="CJ182" s="808"/>
      <c r="CK182" s="808"/>
      <c r="CL182" s="808"/>
      <c r="CM182" s="808"/>
      <c r="CN182" s="808"/>
      <c r="CO182" s="808"/>
      <c r="CP182" s="808"/>
      <c r="CQ182" s="808"/>
      <c r="CR182" s="808"/>
      <c r="CS182" s="808"/>
      <c r="CT182" s="808"/>
      <c r="CU182" s="808"/>
      <c r="CV182" s="808"/>
      <c r="CW182" s="808"/>
      <c r="CX182" s="808"/>
      <c r="CY182" s="808"/>
      <c r="CZ182" s="808"/>
      <c r="DA182" s="808"/>
      <c r="DB182" s="808"/>
      <c r="DC182" s="808"/>
      <c r="DD182" s="808"/>
      <c r="DE182" s="808"/>
      <c r="DF182" s="808"/>
      <c r="DG182" s="808"/>
      <c r="DH182" s="808"/>
      <c r="DI182" s="808"/>
      <c r="DJ182" s="808"/>
      <c r="DK182" s="808"/>
      <c r="DL182" s="808"/>
      <c r="DM182" s="808"/>
      <c r="DN182" s="808"/>
      <c r="DO182" s="808"/>
      <c r="DP182" s="808"/>
    </row>
    <row r="183" spans="1:120">
      <c r="A183" s="821"/>
      <c r="B183" s="807"/>
      <c r="C183" s="808"/>
      <c r="G183" s="810" t="s">
        <v>1203</v>
      </c>
      <c r="K183" s="808"/>
      <c r="M183" s="808"/>
      <c r="N183" s="808"/>
      <c r="O183" s="808"/>
      <c r="P183" s="808"/>
      <c r="Q183" s="808"/>
      <c r="R183" s="808"/>
      <c r="S183" s="808"/>
      <c r="T183" s="808"/>
      <c r="U183" s="808"/>
      <c r="V183" s="808"/>
      <c r="W183" s="808"/>
      <c r="X183" s="808"/>
      <c r="Y183" s="808"/>
      <c r="Z183" s="808"/>
      <c r="AA183" s="808"/>
      <c r="AB183" s="808"/>
      <c r="AC183" s="808"/>
      <c r="AD183" s="808"/>
      <c r="AE183" s="808"/>
      <c r="AF183" s="808"/>
      <c r="AG183" s="808"/>
      <c r="AH183" s="808"/>
      <c r="AI183" s="808"/>
      <c r="AJ183" s="808"/>
      <c r="AK183" s="808"/>
      <c r="AL183" s="808"/>
      <c r="AM183" s="808"/>
      <c r="AN183" s="808"/>
      <c r="AO183" s="808"/>
      <c r="AP183" s="808"/>
      <c r="AQ183" s="808"/>
      <c r="AR183" s="808"/>
      <c r="AS183" s="808"/>
      <c r="AT183" s="808"/>
      <c r="AU183" s="808"/>
      <c r="AV183" s="808"/>
      <c r="AW183" s="808"/>
      <c r="AX183" s="808"/>
      <c r="AY183" s="808"/>
      <c r="AZ183" s="808"/>
      <c r="BA183" s="808"/>
      <c r="BB183" s="808"/>
      <c r="BC183" s="808"/>
      <c r="BD183" s="808"/>
      <c r="BE183" s="808"/>
      <c r="BF183" s="808"/>
      <c r="BG183" s="808"/>
      <c r="BH183" s="808"/>
      <c r="BI183" s="808"/>
      <c r="BJ183" s="808"/>
      <c r="BK183" s="808"/>
      <c r="BL183" s="808"/>
      <c r="BM183" s="808"/>
      <c r="BN183" s="808"/>
      <c r="BO183" s="808"/>
      <c r="BP183" s="808"/>
      <c r="BQ183" s="808"/>
      <c r="BR183" s="808"/>
      <c r="BS183" s="808"/>
      <c r="BT183" s="808"/>
      <c r="BU183" s="808"/>
      <c r="BV183" s="808"/>
      <c r="BW183" s="808"/>
      <c r="BX183" s="808"/>
      <c r="BY183" s="808"/>
      <c r="BZ183" s="808"/>
      <c r="CA183" s="808"/>
      <c r="CB183" s="808"/>
      <c r="CC183" s="808"/>
      <c r="CD183" s="808"/>
      <c r="CE183" s="808"/>
      <c r="CF183" s="808"/>
      <c r="CG183" s="808"/>
      <c r="CH183" s="808"/>
      <c r="CI183" s="808"/>
      <c r="CJ183" s="808"/>
      <c r="CK183" s="808"/>
      <c r="CL183" s="808"/>
      <c r="CM183" s="808"/>
      <c r="CN183" s="808"/>
      <c r="CO183" s="808"/>
      <c r="CP183" s="808"/>
      <c r="CQ183" s="808"/>
      <c r="CR183" s="808"/>
      <c r="CS183" s="808"/>
      <c r="CT183" s="808"/>
      <c r="CU183" s="808"/>
      <c r="CV183" s="808"/>
      <c r="CW183" s="808"/>
      <c r="CX183" s="808"/>
      <c r="CY183" s="808"/>
      <c r="CZ183" s="808"/>
      <c r="DA183" s="808"/>
      <c r="DB183" s="808"/>
      <c r="DC183" s="808"/>
      <c r="DD183" s="808"/>
      <c r="DE183" s="808"/>
      <c r="DF183" s="808"/>
      <c r="DG183" s="808"/>
      <c r="DH183" s="808"/>
      <c r="DI183" s="808"/>
      <c r="DJ183" s="808"/>
      <c r="DK183" s="808"/>
      <c r="DL183" s="808"/>
      <c r="DM183" s="808"/>
      <c r="DN183" s="808"/>
      <c r="DO183" s="808"/>
      <c r="DP183" s="808"/>
    </row>
    <row r="184" spans="1:120">
      <c r="A184" s="821"/>
      <c r="B184" s="811" t="s">
        <v>79</v>
      </c>
      <c r="C184" s="811" t="s">
        <v>5</v>
      </c>
      <c r="D184" s="812" t="s">
        <v>322</v>
      </c>
      <c r="E184" s="812" t="s">
        <v>323</v>
      </c>
      <c r="F184" s="812" t="s">
        <v>322</v>
      </c>
      <c r="G184" s="812" t="s">
        <v>323</v>
      </c>
      <c r="K184" s="808"/>
      <c r="M184" s="808"/>
      <c r="N184" s="808"/>
      <c r="O184" s="808"/>
      <c r="P184" s="808"/>
      <c r="Q184" s="808"/>
      <c r="R184" s="808"/>
      <c r="S184" s="808"/>
      <c r="T184" s="808"/>
      <c r="U184" s="808"/>
      <c r="V184" s="808"/>
      <c r="W184" s="808"/>
      <c r="X184" s="808"/>
      <c r="Y184" s="808"/>
      <c r="Z184" s="808"/>
      <c r="AA184" s="808"/>
      <c r="AB184" s="808"/>
      <c r="AC184" s="808"/>
      <c r="AD184" s="808"/>
      <c r="AE184" s="808"/>
      <c r="AF184" s="808"/>
      <c r="AG184" s="808"/>
      <c r="AH184" s="808"/>
      <c r="AI184" s="808"/>
      <c r="AJ184" s="808"/>
      <c r="AK184" s="808"/>
      <c r="AL184" s="808"/>
      <c r="AM184" s="808"/>
      <c r="AN184" s="808"/>
      <c r="AO184" s="808"/>
      <c r="AP184" s="808"/>
      <c r="AQ184" s="808"/>
      <c r="AR184" s="808"/>
      <c r="AS184" s="808"/>
      <c r="AT184" s="808"/>
      <c r="AU184" s="808"/>
      <c r="AV184" s="808"/>
      <c r="AW184" s="808"/>
      <c r="AX184" s="808"/>
      <c r="AY184" s="808"/>
      <c r="AZ184" s="808"/>
      <c r="BA184" s="808"/>
      <c r="BB184" s="808"/>
      <c r="BC184" s="808"/>
      <c r="BD184" s="808"/>
      <c r="BE184" s="808"/>
      <c r="BF184" s="808"/>
      <c r="BG184" s="808"/>
      <c r="BH184" s="808"/>
      <c r="BI184" s="808"/>
      <c r="BJ184" s="808"/>
      <c r="BK184" s="808"/>
      <c r="BL184" s="808"/>
      <c r="BM184" s="808"/>
      <c r="BN184" s="808"/>
      <c r="BO184" s="808"/>
      <c r="BP184" s="808"/>
      <c r="BQ184" s="808"/>
      <c r="BR184" s="808"/>
      <c r="BS184" s="808"/>
      <c r="BT184" s="808"/>
      <c r="BU184" s="808"/>
      <c r="BV184" s="808"/>
      <c r="BW184" s="808"/>
      <c r="BX184" s="808"/>
      <c r="BY184" s="808"/>
      <c r="BZ184" s="808"/>
      <c r="CA184" s="808"/>
      <c r="CB184" s="808"/>
      <c r="CC184" s="808"/>
      <c r="CD184" s="808"/>
      <c r="CE184" s="808"/>
      <c r="CF184" s="808"/>
      <c r="CG184" s="808"/>
      <c r="CH184" s="808"/>
      <c r="CI184" s="808"/>
      <c r="CJ184" s="808"/>
      <c r="CK184" s="808"/>
      <c r="CL184" s="808"/>
      <c r="CM184" s="808"/>
      <c r="CN184" s="808"/>
      <c r="CO184" s="808"/>
      <c r="CP184" s="808"/>
      <c r="CQ184" s="808"/>
      <c r="CR184" s="808"/>
      <c r="CS184" s="808"/>
      <c r="CT184" s="808"/>
      <c r="CU184" s="808"/>
      <c r="CV184" s="808"/>
      <c r="CW184" s="808"/>
      <c r="CX184" s="808"/>
      <c r="CY184" s="808"/>
      <c r="CZ184" s="808"/>
      <c r="DA184" s="808"/>
      <c r="DB184" s="808"/>
      <c r="DC184" s="808"/>
      <c r="DD184" s="808"/>
      <c r="DE184" s="808"/>
      <c r="DF184" s="808"/>
      <c r="DG184" s="808"/>
      <c r="DH184" s="808"/>
      <c r="DI184" s="808"/>
      <c r="DJ184" s="808"/>
      <c r="DK184" s="808"/>
      <c r="DL184" s="808"/>
      <c r="DM184" s="808"/>
      <c r="DN184" s="808"/>
      <c r="DO184" s="808"/>
      <c r="DP184" s="808"/>
    </row>
    <row r="185" spans="1:120">
      <c r="A185" s="821"/>
      <c r="B185" s="813" t="s">
        <v>1220</v>
      </c>
      <c r="C185" s="814" t="s">
        <v>313</v>
      </c>
      <c r="D185" s="815">
        <v>40028772.100000001</v>
      </c>
      <c r="E185" s="815">
        <v>20000</v>
      </c>
      <c r="F185" s="815">
        <f>73931677095.71/1000+37481410.9</f>
        <v>111413087.99571002</v>
      </c>
      <c r="G185" s="815">
        <f>2400000/1000+9818181.82/1000+14181.82</f>
        <v>26400.001819999998</v>
      </c>
      <c r="H185" s="214">
        <f>+G185*2642.92</f>
        <v>69773092.810114399</v>
      </c>
      <c r="I185" s="214">
        <f>+F185-H185</f>
        <v>41639995.185595617</v>
      </c>
      <c r="K185" s="808"/>
      <c r="M185" s="808"/>
      <c r="N185" s="808"/>
      <c r="O185" s="808"/>
      <c r="P185" s="808"/>
      <c r="Q185" s="808"/>
      <c r="R185" s="808"/>
      <c r="S185" s="808"/>
      <c r="T185" s="808"/>
      <c r="U185" s="808"/>
      <c r="V185" s="808"/>
      <c r="W185" s="808"/>
      <c r="X185" s="808"/>
      <c r="Y185" s="808"/>
      <c r="Z185" s="808"/>
      <c r="AA185" s="808"/>
      <c r="AB185" s="808"/>
      <c r="AC185" s="808"/>
      <c r="AD185" s="808"/>
      <c r="AE185" s="808"/>
      <c r="AF185" s="808"/>
      <c r="AG185" s="808"/>
      <c r="AH185" s="808"/>
      <c r="AI185" s="808"/>
      <c r="AJ185" s="808"/>
      <c r="AK185" s="808"/>
      <c r="AL185" s="808"/>
      <c r="AM185" s="808"/>
      <c r="AN185" s="808"/>
      <c r="AO185" s="808"/>
      <c r="AP185" s="808"/>
      <c r="AQ185" s="808"/>
      <c r="AR185" s="808"/>
      <c r="AS185" s="808"/>
      <c r="AT185" s="808"/>
      <c r="AU185" s="808"/>
      <c r="AV185" s="808"/>
      <c r="AW185" s="808"/>
      <c r="AX185" s="808"/>
      <c r="AY185" s="808"/>
      <c r="AZ185" s="808"/>
      <c r="BA185" s="808"/>
      <c r="BB185" s="808"/>
      <c r="BC185" s="808"/>
      <c r="BD185" s="808"/>
      <c r="BE185" s="808"/>
      <c r="BF185" s="808"/>
      <c r="BG185" s="808"/>
      <c r="BH185" s="808"/>
      <c r="BI185" s="808"/>
      <c r="BJ185" s="808"/>
      <c r="BK185" s="808"/>
      <c r="BL185" s="808"/>
      <c r="BM185" s="808"/>
      <c r="BN185" s="808"/>
      <c r="BO185" s="808"/>
      <c r="BP185" s="808"/>
      <c r="BQ185" s="808"/>
      <c r="BR185" s="808"/>
      <c r="BS185" s="808"/>
      <c r="BT185" s="808"/>
      <c r="BU185" s="808"/>
      <c r="BV185" s="808"/>
      <c r="BW185" s="808"/>
      <c r="BX185" s="808"/>
      <c r="BY185" s="808"/>
      <c r="BZ185" s="808"/>
      <c r="CA185" s="808"/>
      <c r="CB185" s="808"/>
      <c r="CC185" s="808"/>
      <c r="CD185" s="808"/>
      <c r="CE185" s="808"/>
      <c r="CF185" s="808"/>
      <c r="CG185" s="808"/>
      <c r="CH185" s="808"/>
      <c r="CI185" s="808"/>
      <c r="CJ185" s="808"/>
      <c r="CK185" s="808"/>
      <c r="CL185" s="808"/>
      <c r="CM185" s="808"/>
      <c r="CN185" s="808"/>
      <c r="CO185" s="808"/>
      <c r="CP185" s="808"/>
      <c r="CQ185" s="808"/>
      <c r="CR185" s="808"/>
      <c r="CS185" s="808"/>
      <c r="CT185" s="808"/>
      <c r="CU185" s="808"/>
      <c r="CV185" s="808"/>
      <c r="CW185" s="808"/>
      <c r="CX185" s="808"/>
      <c r="CY185" s="808"/>
      <c r="CZ185" s="808"/>
      <c r="DA185" s="808"/>
      <c r="DB185" s="808"/>
      <c r="DC185" s="808"/>
      <c r="DD185" s="808"/>
      <c r="DE185" s="808"/>
      <c r="DF185" s="808"/>
      <c r="DG185" s="808"/>
      <c r="DH185" s="808"/>
      <c r="DI185" s="808"/>
      <c r="DJ185" s="808"/>
      <c r="DK185" s="808"/>
      <c r="DL185" s="808"/>
      <c r="DM185" s="808"/>
      <c r="DN185" s="808"/>
      <c r="DO185" s="808"/>
      <c r="DP185" s="808"/>
    </row>
    <row r="186" spans="1:120">
      <c r="A186" s="821"/>
      <c r="B186" s="813" t="s">
        <v>1206</v>
      </c>
      <c r="C186" s="814" t="s">
        <v>314</v>
      </c>
      <c r="D186" s="815">
        <v>0</v>
      </c>
      <c r="E186" s="815">
        <v>0</v>
      </c>
      <c r="F186" s="815">
        <v>0</v>
      </c>
      <c r="G186" s="815">
        <v>0</v>
      </c>
      <c r="I186" s="214">
        <v>32000000</v>
      </c>
      <c r="K186" s="808"/>
      <c r="M186" s="808"/>
      <c r="N186" s="808"/>
      <c r="O186" s="808"/>
      <c r="P186" s="808"/>
      <c r="Q186" s="808"/>
      <c r="R186" s="808"/>
      <c r="S186" s="808"/>
      <c r="T186" s="808"/>
      <c r="U186" s="808"/>
      <c r="V186" s="808"/>
      <c r="W186" s="808"/>
      <c r="X186" s="808"/>
      <c r="Y186" s="808"/>
      <c r="Z186" s="808"/>
      <c r="AA186" s="808"/>
      <c r="AB186" s="808"/>
      <c r="AC186" s="808"/>
      <c r="AD186" s="808"/>
      <c r="AE186" s="808"/>
      <c r="AF186" s="808"/>
      <c r="AG186" s="808"/>
      <c r="AH186" s="808"/>
      <c r="AI186" s="808"/>
      <c r="AJ186" s="808"/>
      <c r="AK186" s="808"/>
      <c r="AL186" s="808"/>
      <c r="AM186" s="808"/>
      <c r="AN186" s="808"/>
      <c r="AO186" s="808"/>
      <c r="AP186" s="808"/>
      <c r="AQ186" s="808"/>
      <c r="AR186" s="808"/>
      <c r="AS186" s="808"/>
      <c r="AT186" s="808"/>
      <c r="AU186" s="808"/>
      <c r="AV186" s="808"/>
      <c r="AW186" s="808"/>
      <c r="AX186" s="808"/>
      <c r="AY186" s="808"/>
      <c r="AZ186" s="808"/>
      <c r="BA186" s="808"/>
      <c r="BB186" s="808"/>
      <c r="BC186" s="808"/>
      <c r="BD186" s="808"/>
      <c r="BE186" s="808"/>
      <c r="BF186" s="808"/>
      <c r="BG186" s="808"/>
      <c r="BH186" s="808"/>
      <c r="BI186" s="808"/>
      <c r="BJ186" s="808"/>
      <c r="BK186" s="808"/>
      <c r="BL186" s="808"/>
      <c r="BM186" s="808"/>
      <c r="BN186" s="808"/>
      <c r="BO186" s="808"/>
      <c r="BP186" s="808"/>
      <c r="BQ186" s="808"/>
      <c r="BR186" s="808"/>
      <c r="BS186" s="808"/>
      <c r="BT186" s="808"/>
      <c r="BU186" s="808"/>
      <c r="BV186" s="808"/>
      <c r="BW186" s="808"/>
      <c r="BX186" s="808"/>
      <c r="BY186" s="808"/>
      <c r="BZ186" s="808"/>
      <c r="CA186" s="808"/>
      <c r="CB186" s="808"/>
      <c r="CC186" s="808"/>
      <c r="CD186" s="808"/>
      <c r="CE186" s="808"/>
      <c r="CF186" s="808"/>
      <c r="CG186" s="808"/>
      <c r="CH186" s="808"/>
      <c r="CI186" s="808"/>
      <c r="CJ186" s="808"/>
      <c r="CK186" s="808"/>
      <c r="CL186" s="808"/>
      <c r="CM186" s="808"/>
      <c r="CN186" s="808"/>
      <c r="CO186" s="808"/>
      <c r="CP186" s="808"/>
      <c r="CQ186" s="808"/>
      <c r="CR186" s="808"/>
      <c r="CS186" s="808"/>
      <c r="CT186" s="808"/>
      <c r="CU186" s="808"/>
      <c r="CV186" s="808"/>
      <c r="CW186" s="808"/>
      <c r="CX186" s="808"/>
      <c r="CY186" s="808"/>
      <c r="CZ186" s="808"/>
      <c r="DA186" s="808"/>
      <c r="DB186" s="808"/>
      <c r="DC186" s="808"/>
      <c r="DD186" s="808"/>
      <c r="DE186" s="808"/>
      <c r="DF186" s="808"/>
      <c r="DG186" s="808"/>
      <c r="DH186" s="808"/>
      <c r="DI186" s="808"/>
      <c r="DJ186" s="808"/>
      <c r="DK186" s="808"/>
      <c r="DL186" s="808"/>
      <c r="DM186" s="808"/>
      <c r="DN186" s="808"/>
      <c r="DO186" s="808"/>
      <c r="DP186" s="808"/>
    </row>
    <row r="187" spans="1:120">
      <c r="A187" s="821"/>
      <c r="B187" s="813" t="s">
        <v>1273</v>
      </c>
      <c r="C187" s="814"/>
      <c r="D187" s="815">
        <v>0</v>
      </c>
      <c r="E187" s="815">
        <v>0</v>
      </c>
      <c r="F187" s="815">
        <v>0</v>
      </c>
      <c r="G187" s="815">
        <v>0</v>
      </c>
      <c r="I187" s="214">
        <v>9640000</v>
      </c>
      <c r="K187" s="808"/>
      <c r="M187" s="808"/>
      <c r="N187" s="808"/>
      <c r="O187" s="808"/>
      <c r="P187" s="808"/>
      <c r="Q187" s="808"/>
      <c r="R187" s="808"/>
      <c r="S187" s="808"/>
      <c r="T187" s="808"/>
      <c r="U187" s="808"/>
      <c r="V187" s="808"/>
      <c r="W187" s="808"/>
      <c r="X187" s="808"/>
      <c r="Y187" s="808"/>
      <c r="Z187" s="808"/>
      <c r="AA187" s="808"/>
      <c r="AB187" s="808"/>
      <c r="AC187" s="808"/>
      <c r="AD187" s="808"/>
      <c r="AE187" s="808"/>
      <c r="AF187" s="808"/>
      <c r="AG187" s="808"/>
      <c r="AH187" s="808"/>
      <c r="AI187" s="808"/>
      <c r="AJ187" s="808"/>
      <c r="AK187" s="808"/>
      <c r="AL187" s="808"/>
      <c r="AM187" s="808"/>
      <c r="AN187" s="808"/>
      <c r="AO187" s="808"/>
      <c r="AP187" s="808"/>
      <c r="AQ187" s="808"/>
      <c r="AR187" s="808"/>
      <c r="AS187" s="808"/>
      <c r="AT187" s="808"/>
      <c r="AU187" s="808"/>
      <c r="AV187" s="808"/>
      <c r="AW187" s="808"/>
      <c r="AX187" s="808"/>
      <c r="AY187" s="808"/>
      <c r="AZ187" s="808"/>
      <c r="BA187" s="808"/>
      <c r="BB187" s="808"/>
      <c r="BC187" s="808"/>
      <c r="BD187" s="808"/>
      <c r="BE187" s="808"/>
      <c r="BF187" s="808"/>
      <c r="BG187" s="808"/>
      <c r="BH187" s="808"/>
      <c r="BI187" s="808"/>
      <c r="BJ187" s="808"/>
      <c r="BK187" s="808"/>
      <c r="BL187" s="808"/>
      <c r="BM187" s="808"/>
      <c r="BN187" s="808"/>
      <c r="BO187" s="808"/>
      <c r="BP187" s="808"/>
      <c r="BQ187" s="808"/>
      <c r="BR187" s="808"/>
      <c r="BS187" s="808"/>
      <c r="BT187" s="808"/>
      <c r="BU187" s="808"/>
      <c r="BV187" s="808"/>
      <c r="BW187" s="808"/>
      <c r="BX187" s="808"/>
      <c r="BY187" s="808"/>
      <c r="BZ187" s="808"/>
      <c r="CA187" s="808"/>
      <c r="CB187" s="808"/>
      <c r="CC187" s="808"/>
      <c r="CD187" s="808"/>
      <c r="CE187" s="808"/>
      <c r="CF187" s="808"/>
      <c r="CG187" s="808"/>
      <c r="CH187" s="808"/>
      <c r="CI187" s="808"/>
      <c r="CJ187" s="808"/>
      <c r="CK187" s="808"/>
      <c r="CL187" s="808"/>
      <c r="CM187" s="808"/>
      <c r="CN187" s="808"/>
      <c r="CO187" s="808"/>
      <c r="CP187" s="808"/>
      <c r="CQ187" s="808"/>
      <c r="CR187" s="808"/>
      <c r="CS187" s="808"/>
      <c r="CT187" s="808"/>
      <c r="CU187" s="808"/>
      <c r="CV187" s="808"/>
      <c r="CW187" s="808"/>
      <c r="CX187" s="808"/>
      <c r="CY187" s="808"/>
      <c r="CZ187" s="808"/>
      <c r="DA187" s="808"/>
      <c r="DB187" s="808"/>
      <c r="DC187" s="808"/>
      <c r="DD187" s="808"/>
      <c r="DE187" s="808"/>
      <c r="DF187" s="808"/>
      <c r="DG187" s="808"/>
      <c r="DH187" s="808"/>
      <c r="DI187" s="808"/>
      <c r="DJ187" s="808"/>
      <c r="DK187" s="808"/>
      <c r="DL187" s="808"/>
      <c r="DM187" s="808"/>
      <c r="DN187" s="808"/>
      <c r="DO187" s="808"/>
      <c r="DP187" s="808"/>
    </row>
    <row r="188" spans="1:120">
      <c r="A188" s="821"/>
      <c r="B188" s="813" t="s">
        <v>1201</v>
      </c>
      <c r="C188" s="816" t="s">
        <v>82</v>
      </c>
      <c r="D188" s="815">
        <f>+D185</f>
        <v>40028772.100000001</v>
      </c>
      <c r="E188" s="815">
        <f>+E185</f>
        <v>20000</v>
      </c>
      <c r="F188" s="815">
        <f>+F185</f>
        <v>111413087.99571002</v>
      </c>
      <c r="G188" s="815">
        <f>+G185</f>
        <v>26400.001819999998</v>
      </c>
      <c r="I188" s="214">
        <f>+I186+I187</f>
        <v>41640000</v>
      </c>
      <c r="K188" s="808"/>
      <c r="M188" s="808"/>
      <c r="N188" s="808"/>
      <c r="O188" s="808"/>
      <c r="P188" s="808"/>
      <c r="Q188" s="808"/>
      <c r="R188" s="808"/>
      <c r="S188" s="808"/>
      <c r="T188" s="808"/>
      <c r="U188" s="808"/>
      <c r="V188" s="808"/>
      <c r="W188" s="808"/>
      <c r="X188" s="808"/>
      <c r="Y188" s="808"/>
      <c r="Z188" s="808"/>
      <c r="AA188" s="808"/>
      <c r="AB188" s="808"/>
      <c r="AC188" s="808"/>
      <c r="AD188" s="808"/>
      <c r="AE188" s="808"/>
      <c r="AF188" s="808"/>
      <c r="AG188" s="808"/>
      <c r="AH188" s="808"/>
      <c r="AI188" s="808"/>
      <c r="AJ188" s="808"/>
      <c r="AK188" s="808"/>
      <c r="AL188" s="808"/>
      <c r="AM188" s="808"/>
      <c r="AN188" s="808"/>
      <c r="AO188" s="808"/>
      <c r="AP188" s="808"/>
      <c r="AQ188" s="808"/>
      <c r="AR188" s="808"/>
      <c r="AS188" s="808"/>
      <c r="AT188" s="808"/>
      <c r="AU188" s="808"/>
      <c r="AV188" s="808"/>
      <c r="AW188" s="808"/>
      <c r="AX188" s="808"/>
      <c r="AY188" s="808"/>
      <c r="AZ188" s="808"/>
      <c r="BA188" s="808"/>
      <c r="BB188" s="808"/>
      <c r="BC188" s="808"/>
      <c r="BD188" s="808"/>
      <c r="BE188" s="808"/>
      <c r="BF188" s="808"/>
      <c r="BG188" s="808"/>
      <c r="BH188" s="808"/>
      <c r="BI188" s="808"/>
      <c r="BJ188" s="808"/>
      <c r="BK188" s="808"/>
      <c r="BL188" s="808"/>
      <c r="BM188" s="808"/>
      <c r="BN188" s="808"/>
      <c r="BO188" s="808"/>
      <c r="BP188" s="808"/>
      <c r="BQ188" s="808"/>
      <c r="BR188" s="808"/>
      <c r="BS188" s="808"/>
      <c r="BT188" s="808"/>
      <c r="BU188" s="808"/>
      <c r="BV188" s="808"/>
      <c r="BW188" s="808"/>
      <c r="BX188" s="808"/>
      <c r="BY188" s="808"/>
      <c r="BZ188" s="808"/>
      <c r="CA188" s="808"/>
      <c r="CB188" s="808"/>
      <c r="CC188" s="808"/>
      <c r="CD188" s="808"/>
      <c r="CE188" s="808"/>
      <c r="CF188" s="808"/>
      <c r="CG188" s="808"/>
      <c r="CH188" s="808"/>
      <c r="CI188" s="808"/>
      <c r="CJ188" s="808"/>
      <c r="CK188" s="808"/>
      <c r="CL188" s="808"/>
      <c r="CM188" s="808"/>
      <c r="CN188" s="808"/>
      <c r="CO188" s="808"/>
      <c r="CP188" s="808"/>
      <c r="CQ188" s="808"/>
      <c r="CR188" s="808"/>
      <c r="CS188" s="808"/>
      <c r="CT188" s="808"/>
      <c r="CU188" s="808"/>
      <c r="CV188" s="808"/>
      <c r="CW188" s="808"/>
      <c r="CX188" s="808"/>
      <c r="CY188" s="808"/>
      <c r="CZ188" s="808"/>
      <c r="DA188" s="808"/>
      <c r="DB188" s="808"/>
      <c r="DC188" s="808"/>
      <c r="DD188" s="808"/>
      <c r="DE188" s="808"/>
      <c r="DF188" s="808"/>
      <c r="DG188" s="808"/>
      <c r="DH188" s="808"/>
      <c r="DI188" s="808"/>
      <c r="DJ188" s="808"/>
      <c r="DK188" s="808"/>
      <c r="DL188" s="808"/>
      <c r="DM188" s="808"/>
      <c r="DN188" s="808"/>
      <c r="DO188" s="808"/>
      <c r="DP188" s="808"/>
    </row>
    <row r="189" spans="1:120">
      <c r="A189" s="821" t="s">
        <v>1201</v>
      </c>
      <c r="B189" s="807" t="s">
        <v>1201</v>
      </c>
      <c r="C189" s="808" t="s">
        <v>1201</v>
      </c>
      <c r="D189" s="214">
        <f>+D188-balance!C39/1000</f>
        <v>-110408176.058088</v>
      </c>
      <c r="F189" s="214">
        <f>+F188-balance!D39/1000</f>
        <v>-16348959.954629987</v>
      </c>
      <c r="I189" s="214">
        <f>+I185-I188</f>
        <v>-4.8144043833017349</v>
      </c>
      <c r="K189" s="808"/>
      <c r="M189" s="808"/>
      <c r="N189" s="808"/>
      <c r="O189" s="808"/>
      <c r="P189" s="808"/>
      <c r="Q189" s="808"/>
      <c r="R189" s="808"/>
      <c r="S189" s="808"/>
      <c r="T189" s="808"/>
      <c r="U189" s="808"/>
      <c r="V189" s="808"/>
      <c r="W189" s="808"/>
      <c r="X189" s="808"/>
      <c r="Y189" s="808"/>
      <c r="Z189" s="808"/>
      <c r="AA189" s="808"/>
      <c r="AB189" s="808"/>
      <c r="AC189" s="808"/>
      <c r="AD189" s="808"/>
      <c r="AE189" s="808"/>
      <c r="AF189" s="808"/>
      <c r="AG189" s="808"/>
      <c r="AH189" s="808"/>
      <c r="AI189" s="808"/>
      <c r="AJ189" s="808"/>
      <c r="AK189" s="808"/>
      <c r="AL189" s="808"/>
      <c r="AM189" s="808"/>
      <c r="AN189" s="808"/>
      <c r="AO189" s="808"/>
      <c r="AP189" s="808"/>
      <c r="AQ189" s="808"/>
      <c r="AR189" s="808"/>
      <c r="AS189" s="808"/>
      <c r="AT189" s="808"/>
      <c r="AU189" s="808"/>
      <c r="AV189" s="808"/>
      <c r="AW189" s="808"/>
      <c r="AX189" s="808"/>
      <c r="AY189" s="808"/>
      <c r="AZ189" s="808"/>
      <c r="BA189" s="808"/>
      <c r="BB189" s="808"/>
      <c r="BC189" s="808"/>
      <c r="BD189" s="808"/>
      <c r="BE189" s="808"/>
      <c r="BF189" s="808"/>
      <c r="BG189" s="808"/>
      <c r="BH189" s="808"/>
      <c r="BI189" s="808"/>
      <c r="BJ189" s="808"/>
      <c r="BK189" s="808"/>
      <c r="BL189" s="808"/>
      <c r="BM189" s="808"/>
      <c r="BN189" s="808"/>
      <c r="BO189" s="808"/>
      <c r="BP189" s="984"/>
      <c r="BQ189" s="984"/>
      <c r="BR189" s="984"/>
      <c r="BS189" s="984"/>
      <c r="BT189" s="984"/>
      <c r="BU189" s="984"/>
      <c r="BV189" s="984"/>
      <c r="BW189" s="984"/>
      <c r="BX189" s="984"/>
      <c r="BY189" s="984"/>
      <c r="BZ189" s="984"/>
      <c r="CA189" s="984"/>
      <c r="CB189" s="984"/>
      <c r="CC189" s="984"/>
      <c r="CD189" s="984"/>
      <c r="CE189" s="984"/>
      <c r="CF189" s="984"/>
      <c r="CG189" s="984"/>
      <c r="CH189" s="984"/>
      <c r="CI189" s="984"/>
      <c r="CJ189" s="984"/>
      <c r="CK189" s="984"/>
      <c r="CL189" s="984"/>
      <c r="CM189" s="984"/>
      <c r="CN189" s="984"/>
      <c r="CO189" s="984"/>
      <c r="CP189" s="984"/>
      <c r="CQ189" s="984"/>
      <c r="CR189" s="984"/>
      <c r="CS189" s="984"/>
      <c r="CT189" s="984"/>
      <c r="CU189" s="984"/>
      <c r="CV189" s="984"/>
      <c r="CW189" s="984"/>
      <c r="CX189" s="984"/>
      <c r="CY189" s="984"/>
      <c r="CZ189" s="984"/>
      <c r="DA189" s="984"/>
      <c r="DB189" s="984"/>
      <c r="DC189" s="984"/>
      <c r="DD189" s="984"/>
      <c r="DE189" s="984"/>
      <c r="DF189" s="984"/>
      <c r="DG189" s="984"/>
      <c r="DH189" s="984"/>
      <c r="DI189" s="984"/>
      <c r="DJ189" s="984"/>
      <c r="DK189" s="984"/>
      <c r="DL189" s="984"/>
      <c r="DM189" s="984"/>
      <c r="DN189" s="984"/>
      <c r="DO189" s="984"/>
      <c r="DP189" s="984"/>
    </row>
    <row r="190" spans="1:120" hidden="1">
      <c r="A190" s="821"/>
      <c r="B190" s="809" t="s">
        <v>1284</v>
      </c>
      <c r="C190" s="808"/>
      <c r="K190" s="808"/>
      <c r="M190" s="808"/>
      <c r="N190" s="808"/>
      <c r="O190" s="808"/>
      <c r="P190" s="808"/>
      <c r="Q190" s="808"/>
      <c r="R190" s="808"/>
      <c r="S190" s="808"/>
      <c r="T190" s="808"/>
      <c r="U190" s="808"/>
      <c r="V190" s="808"/>
      <c r="W190" s="808"/>
      <c r="X190" s="808"/>
      <c r="Y190" s="808"/>
      <c r="Z190" s="808"/>
      <c r="AA190" s="808"/>
      <c r="AB190" s="808"/>
      <c r="AC190" s="808"/>
      <c r="AD190" s="808"/>
      <c r="AE190" s="808"/>
      <c r="AF190" s="808"/>
      <c r="AG190" s="808"/>
      <c r="AH190" s="808"/>
      <c r="AI190" s="808"/>
      <c r="AJ190" s="808"/>
      <c r="AK190" s="808"/>
      <c r="AL190" s="808"/>
      <c r="AM190" s="808"/>
      <c r="AN190" s="808"/>
      <c r="AO190" s="808"/>
      <c r="AP190" s="808"/>
      <c r="AQ190" s="808"/>
      <c r="AR190" s="808"/>
      <c r="AS190" s="808"/>
      <c r="AT190" s="808"/>
      <c r="AU190" s="808"/>
      <c r="AV190" s="808"/>
      <c r="AW190" s="808"/>
      <c r="AX190" s="808"/>
      <c r="AY190" s="808"/>
      <c r="AZ190" s="808"/>
      <c r="BA190" s="808"/>
      <c r="BB190" s="808"/>
      <c r="BC190" s="808"/>
      <c r="BD190" s="808"/>
      <c r="BE190" s="808"/>
      <c r="BF190" s="808"/>
      <c r="BG190" s="808"/>
      <c r="BH190" s="808"/>
      <c r="BI190" s="808"/>
      <c r="BJ190" s="808"/>
      <c r="BK190" s="808"/>
      <c r="BL190" s="808"/>
      <c r="BM190" s="808"/>
      <c r="BN190" s="808"/>
      <c r="BO190" s="808"/>
      <c r="BP190" s="808"/>
      <c r="BQ190" s="808"/>
      <c r="BR190" s="808"/>
      <c r="BS190" s="808"/>
      <c r="BT190" s="808"/>
      <c r="BU190" s="808"/>
      <c r="BV190" s="808"/>
      <c r="BW190" s="808"/>
      <c r="BX190" s="808"/>
      <c r="BY190" s="808"/>
      <c r="BZ190" s="808"/>
      <c r="CA190" s="808"/>
      <c r="CB190" s="808"/>
      <c r="CC190" s="808"/>
      <c r="CD190" s="808"/>
      <c r="CE190" s="808"/>
      <c r="CF190" s="808"/>
      <c r="CG190" s="808"/>
      <c r="CH190" s="808"/>
      <c r="CI190" s="808"/>
      <c r="CJ190" s="808"/>
      <c r="CK190" s="808"/>
      <c r="CL190" s="808"/>
      <c r="CM190" s="808"/>
      <c r="CN190" s="808"/>
      <c r="CO190" s="808"/>
      <c r="CP190" s="808"/>
      <c r="CQ190" s="808"/>
      <c r="CR190" s="808"/>
      <c r="CS190" s="808"/>
      <c r="CT190" s="808"/>
      <c r="CU190" s="808"/>
      <c r="CV190" s="808"/>
      <c r="CW190" s="808"/>
      <c r="CX190" s="808"/>
      <c r="CY190" s="808"/>
      <c r="CZ190" s="808"/>
      <c r="DA190" s="808"/>
      <c r="DB190" s="808"/>
      <c r="DC190" s="808"/>
      <c r="DD190" s="808"/>
      <c r="DE190" s="808"/>
      <c r="DF190" s="808"/>
      <c r="DG190" s="808"/>
      <c r="DH190" s="808"/>
      <c r="DI190" s="808"/>
      <c r="DJ190" s="808"/>
      <c r="DK190" s="808"/>
      <c r="DL190" s="808"/>
      <c r="DM190" s="808"/>
      <c r="DN190" s="808"/>
      <c r="DO190" s="808"/>
      <c r="DP190" s="808"/>
    </row>
    <row r="191" spans="1:120" hidden="1">
      <c r="A191" s="821"/>
      <c r="B191" s="807"/>
      <c r="C191" s="808"/>
      <c r="H191" s="810" t="s">
        <v>1203</v>
      </c>
      <c r="K191" s="808"/>
      <c r="M191" s="808"/>
      <c r="N191" s="808"/>
      <c r="O191" s="808"/>
      <c r="P191" s="808"/>
      <c r="Q191" s="808"/>
      <c r="R191" s="808"/>
      <c r="S191" s="808"/>
      <c r="T191" s="808"/>
      <c r="U191" s="808"/>
      <c r="V191" s="808"/>
      <c r="W191" s="808"/>
      <c r="X191" s="808"/>
      <c r="Y191" s="808"/>
      <c r="Z191" s="808"/>
      <c r="AA191" s="808"/>
      <c r="AB191" s="808"/>
      <c r="AC191" s="808"/>
      <c r="AD191" s="808"/>
      <c r="AE191" s="808"/>
      <c r="AF191" s="808"/>
      <c r="AG191" s="808"/>
      <c r="AH191" s="808"/>
      <c r="AI191" s="808"/>
      <c r="AJ191" s="808"/>
      <c r="AK191" s="808"/>
      <c r="AL191" s="808"/>
      <c r="AM191" s="808"/>
      <c r="AN191" s="808"/>
      <c r="AO191" s="808"/>
      <c r="AP191" s="808"/>
      <c r="AQ191" s="808"/>
      <c r="AR191" s="808"/>
      <c r="AS191" s="808"/>
      <c r="AT191" s="808"/>
      <c r="AU191" s="808"/>
      <c r="AV191" s="808"/>
      <c r="AW191" s="808"/>
      <c r="AX191" s="808"/>
      <c r="AY191" s="808"/>
      <c r="AZ191" s="808"/>
      <c r="BA191" s="808"/>
      <c r="BB191" s="808"/>
      <c r="BC191" s="808"/>
      <c r="BD191" s="808"/>
      <c r="BE191" s="808"/>
      <c r="BF191" s="808"/>
      <c r="BG191" s="808"/>
      <c r="BH191" s="808"/>
      <c r="BI191" s="808"/>
      <c r="BJ191" s="808"/>
      <c r="BK191" s="808"/>
      <c r="BL191" s="808"/>
      <c r="BM191" s="808"/>
      <c r="BN191" s="808"/>
      <c r="BO191" s="808"/>
      <c r="BP191" s="808"/>
      <c r="BQ191" s="808"/>
      <c r="BR191" s="808"/>
      <c r="BS191" s="808"/>
      <c r="BT191" s="808"/>
      <c r="BU191" s="808"/>
      <c r="BV191" s="808"/>
      <c r="BW191" s="808"/>
      <c r="BX191" s="808"/>
      <c r="BY191" s="808"/>
      <c r="BZ191" s="808"/>
      <c r="CA191" s="808"/>
      <c r="CB191" s="808"/>
      <c r="CC191" s="808"/>
      <c r="CD191" s="808"/>
      <c r="CE191" s="808"/>
      <c r="CF191" s="808"/>
      <c r="CG191" s="808"/>
      <c r="CH191" s="808"/>
      <c r="CI191" s="808"/>
      <c r="CJ191" s="808"/>
      <c r="CK191" s="808"/>
      <c r="CL191" s="808"/>
      <c r="CM191" s="808"/>
      <c r="CN191" s="808"/>
      <c r="CO191" s="808"/>
      <c r="CP191" s="808"/>
      <c r="CQ191" s="808"/>
      <c r="CR191" s="808"/>
      <c r="CS191" s="808"/>
      <c r="CT191" s="808"/>
      <c r="CU191" s="808"/>
      <c r="CV191" s="808"/>
      <c r="CW191" s="808"/>
      <c r="CX191" s="808"/>
      <c r="CY191" s="808"/>
      <c r="CZ191" s="808"/>
      <c r="DA191" s="808"/>
      <c r="DB191" s="808"/>
      <c r="DC191" s="808"/>
      <c r="DD191" s="808"/>
      <c r="DE191" s="808"/>
      <c r="DF191" s="808"/>
      <c r="DG191" s="808"/>
      <c r="DH191" s="808"/>
      <c r="DI191" s="808"/>
      <c r="DJ191" s="808"/>
      <c r="DK191" s="808"/>
      <c r="DL191" s="808"/>
      <c r="DM191" s="808"/>
      <c r="DN191" s="808"/>
      <c r="DO191" s="808"/>
      <c r="DP191" s="808"/>
    </row>
    <row r="192" spans="1:120" ht="26.4" hidden="1">
      <c r="A192" s="821"/>
      <c r="B192" s="811" t="s">
        <v>79</v>
      </c>
      <c r="C192" s="811" t="s">
        <v>5</v>
      </c>
      <c r="D192" s="812" t="s">
        <v>195</v>
      </c>
      <c r="E192" s="812" t="s">
        <v>206</v>
      </c>
      <c r="F192" s="812" t="s">
        <v>325</v>
      </c>
      <c r="G192" s="812" t="s">
        <v>326</v>
      </c>
      <c r="H192" s="812" t="s">
        <v>195</v>
      </c>
      <c r="K192" s="808"/>
      <c r="M192" s="808"/>
      <c r="N192" s="808"/>
      <c r="O192" s="808"/>
      <c r="P192" s="808"/>
      <c r="Q192" s="808"/>
      <c r="R192" s="808"/>
      <c r="S192" s="808"/>
      <c r="T192" s="808"/>
      <c r="U192" s="808"/>
      <c r="V192" s="808"/>
      <c r="W192" s="808"/>
      <c r="X192" s="808"/>
      <c r="Y192" s="808"/>
      <c r="Z192" s="808"/>
      <c r="AA192" s="808"/>
      <c r="AB192" s="808"/>
      <c r="AC192" s="808"/>
      <c r="AD192" s="808"/>
      <c r="AE192" s="808"/>
      <c r="AF192" s="808"/>
      <c r="AG192" s="808"/>
      <c r="AH192" s="808"/>
      <c r="AI192" s="808"/>
      <c r="AJ192" s="808"/>
      <c r="AK192" s="808"/>
      <c r="AL192" s="808"/>
      <c r="AM192" s="808"/>
      <c r="AN192" s="808"/>
      <c r="AO192" s="808"/>
      <c r="AP192" s="808"/>
      <c r="AQ192" s="808"/>
      <c r="AR192" s="808"/>
      <c r="AS192" s="808"/>
      <c r="AT192" s="808"/>
      <c r="AU192" s="808"/>
      <c r="AV192" s="808"/>
      <c r="AW192" s="808"/>
      <c r="AX192" s="808"/>
      <c r="AY192" s="808"/>
      <c r="AZ192" s="808"/>
      <c r="BA192" s="808"/>
      <c r="BB192" s="808"/>
      <c r="BC192" s="808"/>
      <c r="BD192" s="808"/>
      <c r="BE192" s="808"/>
      <c r="BF192" s="808"/>
      <c r="BG192" s="808"/>
      <c r="BH192" s="808"/>
      <c r="BI192" s="808"/>
      <c r="BJ192" s="808"/>
      <c r="BK192" s="808"/>
      <c r="BL192" s="808"/>
      <c r="BM192" s="808"/>
      <c r="BN192" s="808"/>
      <c r="BO192" s="808"/>
      <c r="BP192" s="808"/>
      <c r="BQ192" s="808"/>
      <c r="BR192" s="808"/>
      <c r="BS192" s="808"/>
      <c r="BT192" s="808"/>
      <c r="BU192" s="808"/>
      <c r="BV192" s="808"/>
      <c r="BW192" s="808"/>
      <c r="BX192" s="808"/>
      <c r="BY192" s="808"/>
      <c r="BZ192" s="808"/>
      <c r="CA192" s="808"/>
      <c r="CB192" s="808"/>
      <c r="CC192" s="808"/>
      <c r="CD192" s="808"/>
      <c r="CE192" s="808"/>
      <c r="CF192" s="808"/>
      <c r="CG192" s="808"/>
      <c r="CH192" s="808"/>
      <c r="CI192" s="808"/>
      <c r="CJ192" s="808"/>
      <c r="CK192" s="808"/>
      <c r="CL192" s="808"/>
      <c r="CM192" s="808"/>
      <c r="CN192" s="808"/>
      <c r="CO192" s="808"/>
      <c r="CP192" s="808"/>
      <c r="CQ192" s="808"/>
      <c r="CR192" s="808"/>
      <c r="CS192" s="808"/>
      <c r="CT192" s="808"/>
      <c r="CU192" s="808"/>
      <c r="CV192" s="808"/>
      <c r="CW192" s="808"/>
      <c r="CX192" s="808"/>
      <c r="CY192" s="808"/>
      <c r="CZ192" s="808"/>
      <c r="DA192" s="808"/>
      <c r="DB192" s="808"/>
      <c r="DC192" s="808"/>
      <c r="DD192" s="808"/>
      <c r="DE192" s="808"/>
      <c r="DF192" s="808"/>
      <c r="DG192" s="808"/>
      <c r="DH192" s="808"/>
      <c r="DI192" s="808"/>
      <c r="DJ192" s="808"/>
      <c r="DK192" s="808"/>
      <c r="DL192" s="808"/>
      <c r="DM192" s="808"/>
      <c r="DN192" s="808"/>
      <c r="DO192" s="808"/>
      <c r="DP192" s="808"/>
    </row>
    <row r="193" spans="1:120" hidden="1">
      <c r="A193" s="821"/>
      <c r="B193" s="813" t="s">
        <v>1220</v>
      </c>
      <c r="C193" s="814" t="s">
        <v>1285</v>
      </c>
      <c r="D193" s="815">
        <v>0</v>
      </c>
      <c r="E193" s="815">
        <v>0</v>
      </c>
      <c r="F193" s="815">
        <v>0</v>
      </c>
      <c r="G193" s="815">
        <v>0</v>
      </c>
      <c r="H193" s="815">
        <v>0</v>
      </c>
      <c r="K193" s="808"/>
      <c r="M193" s="808"/>
      <c r="N193" s="808"/>
      <c r="O193" s="808"/>
      <c r="P193" s="808"/>
      <c r="Q193" s="808"/>
      <c r="R193" s="808"/>
      <c r="S193" s="808"/>
      <c r="T193" s="808"/>
      <c r="U193" s="808"/>
      <c r="V193" s="808"/>
      <c r="W193" s="808"/>
      <c r="X193" s="808"/>
      <c r="Y193" s="808"/>
      <c r="Z193" s="808"/>
      <c r="AA193" s="808"/>
      <c r="AB193" s="808"/>
      <c r="AC193" s="808"/>
      <c r="AD193" s="808"/>
      <c r="AE193" s="808"/>
      <c r="AF193" s="808"/>
      <c r="AG193" s="808"/>
      <c r="AH193" s="808"/>
      <c r="AI193" s="808"/>
      <c r="AJ193" s="808"/>
      <c r="AK193" s="808"/>
      <c r="AL193" s="808"/>
      <c r="AM193" s="808"/>
      <c r="AN193" s="808"/>
      <c r="AO193" s="808"/>
      <c r="AP193" s="808"/>
      <c r="AQ193" s="808"/>
      <c r="AR193" s="808"/>
      <c r="AS193" s="808"/>
      <c r="AT193" s="808"/>
      <c r="AU193" s="808"/>
      <c r="AV193" s="808"/>
      <c r="AW193" s="808"/>
      <c r="AX193" s="808"/>
      <c r="AY193" s="808"/>
      <c r="AZ193" s="808"/>
      <c r="BA193" s="808"/>
      <c r="BB193" s="808"/>
      <c r="BC193" s="808"/>
      <c r="BD193" s="808"/>
      <c r="BE193" s="808"/>
      <c r="BF193" s="808"/>
      <c r="BG193" s="808"/>
      <c r="BH193" s="808"/>
      <c r="BI193" s="808"/>
      <c r="BJ193" s="808"/>
      <c r="BK193" s="808"/>
      <c r="BL193" s="808"/>
      <c r="BM193" s="808"/>
      <c r="BN193" s="808"/>
      <c r="BO193" s="808"/>
      <c r="BP193" s="808"/>
      <c r="BQ193" s="808"/>
      <c r="BR193" s="808"/>
      <c r="BS193" s="808"/>
      <c r="BT193" s="808"/>
      <c r="BU193" s="808"/>
      <c r="BV193" s="808"/>
      <c r="BW193" s="808"/>
      <c r="BX193" s="808"/>
      <c r="BY193" s="808"/>
      <c r="BZ193" s="808"/>
      <c r="CA193" s="808"/>
      <c r="CB193" s="808"/>
      <c r="CC193" s="808"/>
      <c r="CD193" s="808"/>
      <c r="CE193" s="808"/>
      <c r="CF193" s="808"/>
      <c r="CG193" s="808"/>
      <c r="CH193" s="808"/>
      <c r="CI193" s="808"/>
      <c r="CJ193" s="808"/>
      <c r="CK193" s="808"/>
      <c r="CL193" s="808"/>
      <c r="CM193" s="808"/>
      <c r="CN193" s="808"/>
      <c r="CO193" s="808"/>
      <c r="CP193" s="808"/>
      <c r="CQ193" s="808"/>
      <c r="CR193" s="808"/>
      <c r="CS193" s="808"/>
      <c r="CT193" s="808"/>
      <c r="CU193" s="808"/>
      <c r="CV193" s="808"/>
      <c r="CW193" s="808"/>
      <c r="CX193" s="808"/>
      <c r="CY193" s="808"/>
      <c r="CZ193" s="808"/>
      <c r="DA193" s="808"/>
      <c r="DB193" s="808"/>
      <c r="DC193" s="808"/>
      <c r="DD193" s="808"/>
      <c r="DE193" s="808"/>
      <c r="DF193" s="808"/>
      <c r="DG193" s="808"/>
      <c r="DH193" s="808"/>
      <c r="DI193" s="808"/>
      <c r="DJ193" s="808"/>
      <c r="DK193" s="808"/>
      <c r="DL193" s="808"/>
      <c r="DM193" s="808"/>
      <c r="DN193" s="808"/>
      <c r="DO193" s="808"/>
      <c r="DP193" s="808"/>
    </row>
    <row r="194" spans="1:120" hidden="1">
      <c r="A194" s="821"/>
      <c r="B194" s="813" t="s">
        <v>1206</v>
      </c>
      <c r="C194" s="814" t="s">
        <v>328</v>
      </c>
      <c r="D194" s="815">
        <v>0</v>
      </c>
      <c r="E194" s="815">
        <v>0</v>
      </c>
      <c r="F194" s="815">
        <v>0</v>
      </c>
      <c r="G194" s="815">
        <v>0</v>
      </c>
      <c r="H194" s="815">
        <v>0</v>
      </c>
      <c r="K194" s="808"/>
      <c r="M194" s="808"/>
      <c r="N194" s="808"/>
      <c r="O194" s="808"/>
      <c r="P194" s="808"/>
      <c r="Q194" s="808"/>
      <c r="R194" s="808"/>
      <c r="S194" s="808"/>
      <c r="T194" s="808"/>
      <c r="U194" s="808"/>
      <c r="V194" s="808"/>
      <c r="W194" s="808"/>
      <c r="X194" s="808"/>
      <c r="Y194" s="808"/>
      <c r="Z194" s="808"/>
      <c r="AA194" s="808"/>
      <c r="AB194" s="808"/>
      <c r="AC194" s="808"/>
      <c r="AD194" s="808"/>
      <c r="AE194" s="808"/>
      <c r="AF194" s="808"/>
      <c r="AG194" s="808"/>
      <c r="AH194" s="808"/>
      <c r="AI194" s="808"/>
      <c r="AJ194" s="808"/>
      <c r="AK194" s="808"/>
      <c r="AL194" s="808"/>
      <c r="AM194" s="808"/>
      <c r="AN194" s="808"/>
      <c r="AO194" s="808"/>
      <c r="AP194" s="808"/>
      <c r="AQ194" s="808"/>
      <c r="AR194" s="808"/>
      <c r="AS194" s="808"/>
      <c r="AT194" s="808"/>
      <c r="AU194" s="808"/>
      <c r="AV194" s="808"/>
      <c r="AW194" s="808"/>
      <c r="AX194" s="808"/>
      <c r="AY194" s="808"/>
      <c r="AZ194" s="808"/>
      <c r="BA194" s="808"/>
      <c r="BB194" s="808"/>
      <c r="BC194" s="808"/>
      <c r="BD194" s="808"/>
      <c r="BE194" s="808"/>
      <c r="BF194" s="808"/>
      <c r="BG194" s="808"/>
      <c r="BH194" s="808"/>
      <c r="BI194" s="808"/>
      <c r="BJ194" s="808"/>
      <c r="BK194" s="808"/>
      <c r="BL194" s="808"/>
      <c r="BM194" s="808"/>
      <c r="BN194" s="808"/>
      <c r="BO194" s="808"/>
      <c r="BP194" s="808"/>
      <c r="BQ194" s="808"/>
      <c r="BR194" s="808"/>
      <c r="BS194" s="808"/>
      <c r="BT194" s="808"/>
      <c r="BU194" s="808"/>
      <c r="BV194" s="808"/>
      <c r="BW194" s="808"/>
      <c r="BX194" s="808"/>
      <c r="BY194" s="808"/>
      <c r="BZ194" s="808"/>
      <c r="CA194" s="808"/>
      <c r="CB194" s="808"/>
      <c r="CC194" s="808"/>
      <c r="CD194" s="808"/>
      <c r="CE194" s="808"/>
      <c r="CF194" s="808"/>
      <c r="CG194" s="808"/>
      <c r="CH194" s="808"/>
      <c r="CI194" s="808"/>
      <c r="CJ194" s="808"/>
      <c r="CK194" s="808"/>
      <c r="CL194" s="808"/>
      <c r="CM194" s="808"/>
      <c r="CN194" s="808"/>
      <c r="CO194" s="808"/>
      <c r="CP194" s="808"/>
      <c r="CQ194" s="808"/>
      <c r="CR194" s="808"/>
      <c r="CS194" s="808"/>
      <c r="CT194" s="808"/>
      <c r="CU194" s="808"/>
      <c r="CV194" s="808"/>
      <c r="CW194" s="808"/>
      <c r="CX194" s="808"/>
      <c r="CY194" s="808"/>
      <c r="CZ194" s="808"/>
      <c r="DA194" s="808"/>
      <c r="DB194" s="808"/>
      <c r="DC194" s="808"/>
      <c r="DD194" s="808"/>
      <c r="DE194" s="808"/>
      <c r="DF194" s="808"/>
      <c r="DG194" s="808"/>
      <c r="DH194" s="808"/>
      <c r="DI194" s="808"/>
      <c r="DJ194" s="808"/>
      <c r="DK194" s="808"/>
      <c r="DL194" s="808"/>
      <c r="DM194" s="808"/>
      <c r="DN194" s="808"/>
      <c r="DO194" s="808"/>
      <c r="DP194" s="808"/>
    </row>
    <row r="195" spans="1:120" hidden="1">
      <c r="A195" s="821"/>
      <c r="B195" s="813" t="s">
        <v>1273</v>
      </c>
      <c r="C195" s="814" t="s">
        <v>1286</v>
      </c>
      <c r="D195" s="815">
        <v>0</v>
      </c>
      <c r="E195" s="815">
        <v>0</v>
      </c>
      <c r="F195" s="815">
        <v>0</v>
      </c>
      <c r="G195" s="815">
        <v>0</v>
      </c>
      <c r="H195" s="815">
        <v>0</v>
      </c>
      <c r="K195" s="808"/>
      <c r="M195" s="808"/>
      <c r="N195" s="808"/>
      <c r="O195" s="808"/>
      <c r="P195" s="808"/>
      <c r="Q195" s="808"/>
      <c r="R195" s="808"/>
      <c r="S195" s="808"/>
      <c r="T195" s="808"/>
      <c r="U195" s="808"/>
      <c r="V195" s="808"/>
      <c r="W195" s="808"/>
      <c r="X195" s="808"/>
      <c r="Y195" s="808"/>
      <c r="Z195" s="808"/>
      <c r="AA195" s="808"/>
      <c r="AB195" s="808"/>
      <c r="AC195" s="808"/>
      <c r="AD195" s="808"/>
      <c r="AE195" s="808"/>
      <c r="AF195" s="808"/>
      <c r="AG195" s="808"/>
      <c r="AH195" s="808"/>
      <c r="AI195" s="808"/>
      <c r="AJ195" s="808"/>
      <c r="AK195" s="808"/>
      <c r="AL195" s="808"/>
      <c r="AM195" s="808"/>
      <c r="AN195" s="808"/>
      <c r="AO195" s="808"/>
      <c r="AP195" s="808"/>
      <c r="AQ195" s="808"/>
      <c r="AR195" s="808"/>
      <c r="AS195" s="808"/>
      <c r="AT195" s="808"/>
      <c r="AU195" s="808"/>
      <c r="AV195" s="808"/>
      <c r="AW195" s="808"/>
      <c r="AX195" s="808"/>
      <c r="AY195" s="808"/>
      <c r="AZ195" s="808"/>
      <c r="BA195" s="808"/>
      <c r="BB195" s="808"/>
      <c r="BC195" s="808"/>
      <c r="BD195" s="808"/>
      <c r="BE195" s="808"/>
      <c r="BF195" s="808"/>
      <c r="BG195" s="808"/>
      <c r="BH195" s="808"/>
      <c r="BI195" s="808"/>
      <c r="BJ195" s="808"/>
      <c r="BK195" s="808"/>
      <c r="BL195" s="808"/>
      <c r="BM195" s="808"/>
      <c r="BN195" s="808"/>
      <c r="BO195" s="808"/>
      <c r="BP195" s="808"/>
      <c r="BQ195" s="808"/>
      <c r="BR195" s="808"/>
      <c r="BS195" s="808"/>
      <c r="BT195" s="808"/>
      <c r="BU195" s="808"/>
      <c r="BV195" s="808"/>
      <c r="BW195" s="808"/>
      <c r="BX195" s="808"/>
      <c r="BY195" s="808"/>
      <c r="BZ195" s="808"/>
      <c r="CA195" s="808"/>
      <c r="CB195" s="808"/>
      <c r="CC195" s="808"/>
      <c r="CD195" s="808"/>
      <c r="CE195" s="808"/>
      <c r="CF195" s="808"/>
      <c r="CG195" s="808"/>
      <c r="CH195" s="808"/>
      <c r="CI195" s="808"/>
      <c r="CJ195" s="808"/>
      <c r="CK195" s="808"/>
      <c r="CL195" s="808"/>
      <c r="CM195" s="808"/>
      <c r="CN195" s="808"/>
      <c r="CO195" s="808"/>
      <c r="CP195" s="808"/>
      <c r="CQ195" s="808"/>
      <c r="CR195" s="808"/>
      <c r="CS195" s="808"/>
      <c r="CT195" s="808"/>
      <c r="CU195" s="808"/>
      <c r="CV195" s="808"/>
      <c r="CW195" s="808"/>
      <c r="CX195" s="808"/>
      <c r="CY195" s="808"/>
      <c r="CZ195" s="808"/>
      <c r="DA195" s="808"/>
      <c r="DB195" s="808"/>
      <c r="DC195" s="808"/>
      <c r="DD195" s="808"/>
      <c r="DE195" s="808"/>
      <c r="DF195" s="808"/>
      <c r="DG195" s="808"/>
      <c r="DH195" s="808"/>
      <c r="DI195" s="808"/>
      <c r="DJ195" s="808"/>
      <c r="DK195" s="808"/>
      <c r="DL195" s="808"/>
      <c r="DM195" s="808"/>
      <c r="DN195" s="808"/>
      <c r="DO195" s="808"/>
      <c r="DP195" s="808"/>
    </row>
    <row r="196" spans="1:120" hidden="1">
      <c r="A196" s="821"/>
      <c r="B196" s="813" t="s">
        <v>1201</v>
      </c>
      <c r="C196" s="816" t="s">
        <v>82</v>
      </c>
      <c r="D196" s="815">
        <v>0</v>
      </c>
      <c r="E196" s="815">
        <v>0</v>
      </c>
      <c r="F196" s="815">
        <v>0</v>
      </c>
      <c r="G196" s="815">
        <v>0</v>
      </c>
      <c r="H196" s="815">
        <v>0</v>
      </c>
      <c r="K196" s="808"/>
      <c r="M196" s="808"/>
      <c r="N196" s="808"/>
      <c r="O196" s="808"/>
      <c r="P196" s="808"/>
      <c r="Q196" s="808"/>
      <c r="R196" s="808"/>
      <c r="S196" s="808"/>
      <c r="T196" s="808"/>
      <c r="U196" s="808"/>
      <c r="V196" s="808"/>
      <c r="W196" s="808"/>
      <c r="X196" s="808"/>
      <c r="Y196" s="808"/>
      <c r="Z196" s="808"/>
      <c r="AA196" s="808"/>
      <c r="AB196" s="808"/>
      <c r="AC196" s="808"/>
      <c r="AD196" s="808"/>
      <c r="AE196" s="808"/>
      <c r="AF196" s="808"/>
      <c r="AG196" s="808"/>
      <c r="AH196" s="808"/>
      <c r="AI196" s="808"/>
      <c r="AJ196" s="808"/>
      <c r="AK196" s="808"/>
      <c r="AL196" s="808"/>
      <c r="AM196" s="808"/>
      <c r="AN196" s="808"/>
      <c r="AO196" s="808"/>
      <c r="AP196" s="808"/>
      <c r="AQ196" s="808"/>
      <c r="AR196" s="808"/>
      <c r="AS196" s="808"/>
      <c r="AT196" s="808"/>
      <c r="AU196" s="808"/>
      <c r="AV196" s="808"/>
      <c r="AW196" s="808"/>
      <c r="AX196" s="808"/>
      <c r="AY196" s="808"/>
      <c r="AZ196" s="808"/>
      <c r="BA196" s="808"/>
      <c r="BB196" s="808"/>
      <c r="BC196" s="808"/>
      <c r="BD196" s="808"/>
      <c r="BE196" s="808"/>
      <c r="BF196" s="808"/>
      <c r="BG196" s="808"/>
      <c r="BH196" s="808"/>
      <c r="BI196" s="808"/>
      <c r="BJ196" s="808"/>
      <c r="BK196" s="808"/>
      <c r="BL196" s="808"/>
      <c r="BM196" s="808"/>
      <c r="BN196" s="808"/>
      <c r="BO196" s="808"/>
      <c r="BP196" s="808"/>
      <c r="BQ196" s="808"/>
      <c r="BR196" s="808"/>
      <c r="BS196" s="808"/>
      <c r="BT196" s="808"/>
      <c r="BU196" s="808"/>
      <c r="BV196" s="808"/>
      <c r="BW196" s="808"/>
      <c r="BX196" s="808"/>
      <c r="BY196" s="808"/>
      <c r="BZ196" s="808"/>
      <c r="CA196" s="808"/>
      <c r="CB196" s="808"/>
      <c r="CC196" s="808"/>
      <c r="CD196" s="808"/>
      <c r="CE196" s="808"/>
      <c r="CF196" s="808"/>
      <c r="CG196" s="808"/>
      <c r="CH196" s="808"/>
      <c r="CI196" s="808"/>
      <c r="CJ196" s="808"/>
      <c r="CK196" s="808"/>
      <c r="CL196" s="808"/>
      <c r="CM196" s="808"/>
      <c r="CN196" s="808"/>
      <c r="CO196" s="808"/>
      <c r="CP196" s="808"/>
      <c r="CQ196" s="808"/>
      <c r="CR196" s="808"/>
      <c r="CS196" s="808"/>
      <c r="CT196" s="808"/>
      <c r="CU196" s="808"/>
      <c r="CV196" s="808"/>
      <c r="CW196" s="808"/>
      <c r="CX196" s="808"/>
      <c r="CY196" s="808"/>
      <c r="CZ196" s="808"/>
      <c r="DA196" s="808"/>
      <c r="DB196" s="808"/>
      <c r="DC196" s="808"/>
      <c r="DD196" s="808"/>
      <c r="DE196" s="808"/>
      <c r="DF196" s="808"/>
      <c r="DG196" s="808"/>
      <c r="DH196" s="808"/>
      <c r="DI196" s="808"/>
      <c r="DJ196" s="808"/>
      <c r="DK196" s="808"/>
      <c r="DL196" s="808"/>
      <c r="DM196" s="808"/>
      <c r="DN196" s="808"/>
      <c r="DO196" s="808"/>
      <c r="DP196" s="808"/>
    </row>
    <row r="197" spans="1:120">
      <c r="A197" s="821"/>
      <c r="B197" s="809" t="s">
        <v>1204</v>
      </c>
      <c r="C197" s="808"/>
      <c r="K197" s="808"/>
      <c r="M197" s="808"/>
      <c r="N197" s="808"/>
      <c r="O197" s="808"/>
      <c r="P197" s="808"/>
      <c r="Q197" s="808"/>
      <c r="R197" s="808"/>
      <c r="S197" s="808"/>
      <c r="T197" s="808"/>
      <c r="U197" s="808"/>
      <c r="V197" s="808"/>
      <c r="W197" s="808"/>
      <c r="X197" s="808"/>
      <c r="Y197" s="808"/>
      <c r="Z197" s="808"/>
      <c r="AA197" s="808"/>
      <c r="AB197" s="808"/>
      <c r="AC197" s="808"/>
      <c r="AD197" s="808"/>
      <c r="AE197" s="808"/>
      <c r="AF197" s="808"/>
      <c r="AG197" s="808"/>
      <c r="AH197" s="808"/>
      <c r="AI197" s="808"/>
      <c r="AJ197" s="808"/>
      <c r="AK197" s="808"/>
      <c r="AL197" s="808"/>
      <c r="AM197" s="808"/>
      <c r="AN197" s="808"/>
      <c r="AO197" s="808"/>
      <c r="AP197" s="808"/>
      <c r="AQ197" s="808"/>
      <c r="AR197" s="808"/>
      <c r="AS197" s="808"/>
      <c r="AT197" s="808"/>
      <c r="AU197" s="808"/>
      <c r="AV197" s="808"/>
      <c r="AW197" s="808"/>
      <c r="AX197" s="808"/>
      <c r="AY197" s="808"/>
      <c r="AZ197" s="808"/>
      <c r="BA197" s="808"/>
      <c r="BB197" s="808"/>
      <c r="BC197" s="808"/>
      <c r="BD197" s="808"/>
      <c r="BE197" s="808"/>
      <c r="BF197" s="808"/>
      <c r="BG197" s="808"/>
      <c r="BH197" s="808"/>
      <c r="BI197" s="808"/>
      <c r="BJ197" s="808"/>
      <c r="BK197" s="808"/>
      <c r="BL197" s="808"/>
      <c r="BM197" s="808"/>
      <c r="BN197" s="808"/>
      <c r="BO197" s="808"/>
      <c r="BP197" s="808"/>
      <c r="BQ197" s="808"/>
      <c r="BR197" s="808"/>
      <c r="BS197" s="808"/>
      <c r="BT197" s="808"/>
      <c r="BU197" s="808"/>
      <c r="BV197" s="808"/>
      <c r="BW197" s="808"/>
      <c r="BX197" s="808"/>
      <c r="BY197" s="808"/>
      <c r="BZ197" s="808"/>
      <c r="CA197" s="808"/>
      <c r="CB197" s="808"/>
      <c r="CC197" s="808"/>
      <c r="CD197" s="808"/>
      <c r="CE197" s="808"/>
      <c r="CF197" s="808"/>
      <c r="CG197" s="808"/>
      <c r="CH197" s="808"/>
      <c r="CI197" s="808"/>
      <c r="CJ197" s="808"/>
      <c r="CK197" s="808"/>
      <c r="CL197" s="808"/>
      <c r="CM197" s="808"/>
      <c r="CN197" s="808"/>
      <c r="CO197" s="808"/>
      <c r="CP197" s="808"/>
      <c r="CQ197" s="808"/>
      <c r="CR197" s="808"/>
      <c r="CS197" s="808"/>
      <c r="CT197" s="808"/>
      <c r="CU197" s="808"/>
      <c r="CV197" s="808"/>
      <c r="CW197" s="808"/>
      <c r="CX197" s="808"/>
      <c r="CY197" s="808"/>
      <c r="CZ197" s="808"/>
      <c r="DA197" s="808"/>
      <c r="DB197" s="808"/>
      <c r="DC197" s="808"/>
      <c r="DD197" s="808"/>
      <c r="DE197" s="808"/>
      <c r="DF197" s="808"/>
      <c r="DG197" s="808"/>
      <c r="DH197" s="808"/>
      <c r="DI197" s="808"/>
      <c r="DJ197" s="808"/>
      <c r="DK197" s="808"/>
      <c r="DL197" s="808"/>
      <c r="DM197" s="808"/>
      <c r="DN197" s="808"/>
      <c r="DO197" s="808"/>
      <c r="DP197" s="808"/>
    </row>
    <row r="198" spans="1:120">
      <c r="A198" s="821"/>
      <c r="B198" s="809" t="s">
        <v>1287</v>
      </c>
      <c r="C198" s="808"/>
      <c r="K198" s="808"/>
      <c r="M198" s="808"/>
      <c r="N198" s="808"/>
      <c r="O198" s="808"/>
      <c r="P198" s="808"/>
      <c r="Q198" s="808"/>
      <c r="R198" s="808"/>
      <c r="S198" s="808"/>
      <c r="T198" s="808"/>
      <c r="U198" s="808"/>
      <c r="V198" s="808"/>
      <c r="W198" s="808"/>
      <c r="X198" s="808"/>
      <c r="Y198" s="808"/>
      <c r="Z198" s="808"/>
      <c r="AA198" s="808"/>
      <c r="AB198" s="808"/>
      <c r="AC198" s="808"/>
      <c r="AD198" s="808"/>
      <c r="AE198" s="808"/>
      <c r="AF198" s="808"/>
      <c r="AG198" s="808"/>
      <c r="AH198" s="808"/>
      <c r="AI198" s="808"/>
      <c r="AJ198" s="808"/>
      <c r="AK198" s="808"/>
      <c r="AL198" s="808"/>
      <c r="AM198" s="808"/>
      <c r="AN198" s="808"/>
      <c r="AO198" s="808"/>
      <c r="AP198" s="808"/>
      <c r="AQ198" s="808"/>
      <c r="AR198" s="808"/>
      <c r="AS198" s="808"/>
      <c r="AT198" s="808"/>
      <c r="AU198" s="808"/>
      <c r="AV198" s="808"/>
      <c r="AW198" s="808"/>
      <c r="AX198" s="808"/>
      <c r="AY198" s="808"/>
      <c r="AZ198" s="808"/>
      <c r="BA198" s="808"/>
      <c r="BB198" s="808"/>
      <c r="BC198" s="808"/>
      <c r="BD198" s="808"/>
      <c r="BE198" s="808"/>
      <c r="BF198" s="808"/>
      <c r="BG198" s="808"/>
      <c r="BH198" s="808"/>
      <c r="BI198" s="808"/>
      <c r="BJ198" s="808"/>
      <c r="BK198" s="808"/>
      <c r="BL198" s="808"/>
      <c r="BM198" s="808"/>
      <c r="BN198" s="808"/>
      <c r="BO198" s="808"/>
      <c r="BP198" s="808"/>
      <c r="BQ198" s="808"/>
      <c r="BR198" s="808"/>
      <c r="BS198" s="808"/>
      <c r="BT198" s="808"/>
      <c r="BU198" s="808"/>
      <c r="BV198" s="808"/>
      <c r="BW198" s="808"/>
      <c r="BX198" s="808"/>
      <c r="BY198" s="808"/>
      <c r="BZ198" s="808"/>
      <c r="CA198" s="808"/>
      <c r="CB198" s="808"/>
      <c r="CC198" s="808"/>
      <c r="CD198" s="808"/>
      <c r="CE198" s="808"/>
      <c r="CF198" s="808"/>
      <c r="CG198" s="808"/>
      <c r="CH198" s="808"/>
      <c r="CI198" s="808"/>
      <c r="CJ198" s="808"/>
      <c r="CK198" s="808"/>
      <c r="CL198" s="808"/>
      <c r="CM198" s="808"/>
      <c r="CN198" s="808"/>
      <c r="CO198" s="808"/>
      <c r="CP198" s="808"/>
      <c r="CQ198" s="808"/>
      <c r="CR198" s="808"/>
      <c r="CS198" s="808"/>
      <c r="CT198" s="808"/>
      <c r="CU198" s="808"/>
      <c r="CV198" s="808"/>
      <c r="CW198" s="808"/>
      <c r="CX198" s="808"/>
      <c r="CY198" s="808"/>
      <c r="CZ198" s="808"/>
      <c r="DA198" s="808"/>
      <c r="DB198" s="808"/>
      <c r="DC198" s="808"/>
      <c r="DD198" s="808"/>
      <c r="DE198" s="808"/>
      <c r="DF198" s="808"/>
      <c r="DG198" s="808"/>
      <c r="DH198" s="808"/>
      <c r="DI198" s="808"/>
      <c r="DJ198" s="808"/>
      <c r="DK198" s="808"/>
      <c r="DL198" s="808"/>
      <c r="DM198" s="808"/>
      <c r="DN198" s="808"/>
      <c r="DO198" s="808"/>
      <c r="DP198" s="808"/>
    </row>
    <row r="199" spans="1:120">
      <c r="A199" s="821"/>
      <c r="B199" s="807"/>
      <c r="C199" s="808"/>
      <c r="E199" s="810" t="s">
        <v>1203</v>
      </c>
      <c r="K199" s="808"/>
      <c r="M199" s="808"/>
      <c r="N199" s="808"/>
      <c r="O199" s="808"/>
      <c r="P199" s="808"/>
      <c r="Q199" s="808"/>
      <c r="R199" s="808"/>
      <c r="S199" s="808"/>
      <c r="T199" s="808"/>
      <c r="U199" s="808"/>
      <c r="V199" s="808"/>
      <c r="W199" s="808"/>
      <c r="X199" s="808"/>
      <c r="Y199" s="808"/>
      <c r="Z199" s="808"/>
      <c r="AA199" s="808"/>
      <c r="AB199" s="808"/>
      <c r="AC199" s="808"/>
      <c r="AD199" s="808"/>
      <c r="AE199" s="808"/>
      <c r="AF199" s="808"/>
      <c r="AG199" s="808"/>
      <c r="AH199" s="808"/>
      <c r="AI199" s="808"/>
      <c r="AJ199" s="808"/>
      <c r="AK199" s="808"/>
      <c r="AL199" s="808"/>
      <c r="AM199" s="808"/>
      <c r="AN199" s="808"/>
      <c r="AO199" s="808"/>
      <c r="AP199" s="808"/>
      <c r="AQ199" s="808"/>
      <c r="AR199" s="808"/>
      <c r="AS199" s="808"/>
      <c r="AT199" s="808"/>
      <c r="AU199" s="808"/>
      <c r="AV199" s="808"/>
      <c r="AW199" s="808"/>
      <c r="AX199" s="808"/>
      <c r="AY199" s="808"/>
      <c r="AZ199" s="808"/>
      <c r="BA199" s="808"/>
      <c r="BB199" s="808"/>
      <c r="BC199" s="808"/>
      <c r="BD199" s="808"/>
      <c r="BE199" s="808"/>
      <c r="BF199" s="808"/>
      <c r="BG199" s="808"/>
      <c r="BH199" s="808"/>
      <c r="BI199" s="808"/>
      <c r="BJ199" s="808"/>
      <c r="BK199" s="808"/>
      <c r="BL199" s="808"/>
      <c r="BM199" s="808"/>
      <c r="BN199" s="808"/>
      <c r="BO199" s="808"/>
      <c r="BP199" s="808"/>
      <c r="BQ199" s="808"/>
      <c r="BR199" s="808"/>
      <c r="BS199" s="808"/>
      <c r="BT199" s="808"/>
      <c r="BU199" s="808"/>
      <c r="BV199" s="808"/>
      <c r="BW199" s="808"/>
      <c r="BX199" s="808"/>
      <c r="BY199" s="808"/>
      <c r="BZ199" s="808"/>
      <c r="CA199" s="808"/>
      <c r="CB199" s="808"/>
      <c r="CC199" s="808"/>
      <c r="CD199" s="808"/>
      <c r="CE199" s="808"/>
      <c r="CF199" s="808"/>
      <c r="CG199" s="808"/>
      <c r="CH199" s="808"/>
      <c r="CI199" s="808"/>
      <c r="CJ199" s="808"/>
      <c r="CK199" s="808"/>
      <c r="CL199" s="808"/>
      <c r="CM199" s="808"/>
      <c r="CN199" s="808"/>
      <c r="CO199" s="808"/>
      <c r="CP199" s="808"/>
      <c r="CQ199" s="808"/>
      <c r="CR199" s="808"/>
      <c r="CS199" s="808"/>
      <c r="CT199" s="808"/>
      <c r="CU199" s="808"/>
      <c r="CV199" s="808"/>
      <c r="CW199" s="808"/>
      <c r="CX199" s="808"/>
      <c r="CY199" s="808"/>
      <c r="CZ199" s="808"/>
      <c r="DA199" s="808"/>
      <c r="DB199" s="808"/>
      <c r="DC199" s="808"/>
      <c r="DD199" s="808"/>
      <c r="DE199" s="808"/>
      <c r="DF199" s="808"/>
      <c r="DG199" s="808"/>
      <c r="DH199" s="808"/>
      <c r="DI199" s="808"/>
      <c r="DJ199" s="808"/>
      <c r="DK199" s="808"/>
      <c r="DL199" s="808"/>
      <c r="DM199" s="808"/>
      <c r="DN199" s="808"/>
      <c r="DO199" s="808"/>
      <c r="DP199" s="808"/>
    </row>
    <row r="200" spans="1:120">
      <c r="A200" s="821"/>
      <c r="B200" s="811" t="s">
        <v>79</v>
      </c>
      <c r="C200" s="811" t="s">
        <v>5</v>
      </c>
      <c r="D200" s="812" t="s">
        <v>195</v>
      </c>
      <c r="E200" s="812" t="s">
        <v>195</v>
      </c>
      <c r="K200" s="808"/>
      <c r="M200" s="808"/>
      <c r="N200" s="808"/>
      <c r="O200" s="808"/>
      <c r="P200" s="808"/>
      <c r="Q200" s="808"/>
      <c r="R200" s="808"/>
      <c r="S200" s="808"/>
      <c r="T200" s="808"/>
      <c r="U200" s="808"/>
      <c r="V200" s="808"/>
      <c r="W200" s="808"/>
      <c r="X200" s="808"/>
      <c r="Y200" s="808"/>
      <c r="Z200" s="808"/>
      <c r="AA200" s="808"/>
      <c r="AB200" s="808"/>
      <c r="AC200" s="808"/>
      <c r="AD200" s="808"/>
      <c r="AE200" s="808"/>
      <c r="AF200" s="808"/>
      <c r="AG200" s="808"/>
      <c r="AH200" s="808"/>
      <c r="AI200" s="808"/>
      <c r="AJ200" s="808"/>
      <c r="AK200" s="808"/>
      <c r="AL200" s="808"/>
      <c r="AM200" s="808"/>
      <c r="AN200" s="808"/>
      <c r="AO200" s="808"/>
      <c r="AP200" s="808"/>
      <c r="AQ200" s="808"/>
      <c r="AR200" s="808"/>
      <c r="AS200" s="808"/>
      <c r="AT200" s="808"/>
      <c r="AU200" s="808"/>
      <c r="AV200" s="808"/>
      <c r="AW200" s="808"/>
      <c r="AX200" s="808"/>
      <c r="AY200" s="808"/>
      <c r="AZ200" s="808"/>
      <c r="BA200" s="808"/>
      <c r="BB200" s="808"/>
      <c r="BC200" s="808"/>
      <c r="BD200" s="808"/>
      <c r="BE200" s="808"/>
      <c r="BF200" s="808"/>
      <c r="BG200" s="808"/>
      <c r="BH200" s="808"/>
      <c r="BI200" s="808"/>
      <c r="BJ200" s="808"/>
      <c r="BK200" s="808"/>
      <c r="BL200" s="808"/>
      <c r="BM200" s="808"/>
      <c r="BN200" s="808"/>
      <c r="BO200" s="808"/>
      <c r="BP200" s="808"/>
      <c r="BQ200" s="808"/>
      <c r="BR200" s="808"/>
      <c r="BS200" s="808"/>
      <c r="BT200" s="808"/>
      <c r="BU200" s="808"/>
      <c r="BV200" s="808"/>
      <c r="BW200" s="808"/>
      <c r="BX200" s="808"/>
      <c r="BY200" s="808"/>
      <c r="BZ200" s="808"/>
      <c r="CA200" s="808"/>
      <c r="CB200" s="808"/>
      <c r="CC200" s="808"/>
      <c r="CD200" s="808"/>
      <c r="CE200" s="808"/>
      <c r="CF200" s="808"/>
      <c r="CG200" s="808"/>
      <c r="CH200" s="808"/>
      <c r="CI200" s="808"/>
      <c r="CJ200" s="808"/>
      <c r="CK200" s="808"/>
      <c r="CL200" s="808"/>
      <c r="CM200" s="808"/>
      <c r="CN200" s="808"/>
      <c r="CO200" s="808"/>
      <c r="CP200" s="808"/>
      <c r="CQ200" s="808"/>
      <c r="CR200" s="808"/>
      <c r="CS200" s="808"/>
      <c r="CT200" s="808"/>
      <c r="CU200" s="808"/>
      <c r="CV200" s="808"/>
      <c r="CW200" s="808"/>
      <c r="CX200" s="808"/>
      <c r="CY200" s="808"/>
      <c r="CZ200" s="808"/>
      <c r="DA200" s="808"/>
      <c r="DB200" s="808"/>
      <c r="DC200" s="808"/>
      <c r="DD200" s="808"/>
      <c r="DE200" s="808"/>
      <c r="DF200" s="808"/>
      <c r="DG200" s="808"/>
      <c r="DH200" s="808"/>
      <c r="DI200" s="808"/>
      <c r="DJ200" s="808"/>
      <c r="DK200" s="808"/>
      <c r="DL200" s="808"/>
      <c r="DM200" s="808"/>
      <c r="DN200" s="808"/>
      <c r="DO200" s="808"/>
      <c r="DP200" s="808"/>
    </row>
    <row r="201" spans="1:120">
      <c r="A201" s="821"/>
      <c r="B201" s="813" t="s">
        <v>1220</v>
      </c>
      <c r="C201" s="814" t="s">
        <v>231</v>
      </c>
      <c r="D201" s="842">
        <v>22890.400000000001</v>
      </c>
      <c r="E201" s="842" t="e">
        <f>+#REF!/1000</f>
        <v>#REF!</v>
      </c>
      <c r="K201" s="808"/>
      <c r="M201" s="808"/>
      <c r="N201" s="808"/>
      <c r="O201" s="808"/>
      <c r="P201" s="808"/>
      <c r="Q201" s="808"/>
      <c r="R201" s="808"/>
      <c r="S201" s="808"/>
      <c r="T201" s="808"/>
      <c r="U201" s="808"/>
      <c r="V201" s="808"/>
      <c r="W201" s="808"/>
      <c r="X201" s="808"/>
      <c r="Y201" s="808"/>
      <c r="Z201" s="808"/>
      <c r="AA201" s="808"/>
      <c r="AB201" s="808"/>
      <c r="AC201" s="808"/>
      <c r="AD201" s="808"/>
      <c r="AE201" s="808"/>
      <c r="AF201" s="808"/>
      <c r="AG201" s="808"/>
      <c r="AH201" s="808"/>
      <c r="AI201" s="808"/>
      <c r="AJ201" s="808"/>
      <c r="AK201" s="808"/>
      <c r="AL201" s="808"/>
      <c r="AM201" s="808"/>
      <c r="AN201" s="808"/>
      <c r="AO201" s="808"/>
      <c r="AP201" s="808"/>
      <c r="AQ201" s="808"/>
      <c r="AR201" s="808"/>
      <c r="AS201" s="808"/>
      <c r="AT201" s="808"/>
      <c r="AU201" s="808"/>
      <c r="AV201" s="808"/>
      <c r="AW201" s="808"/>
      <c r="AX201" s="808"/>
      <c r="AY201" s="808"/>
      <c r="AZ201" s="808"/>
      <c r="BA201" s="808"/>
      <c r="BB201" s="808"/>
      <c r="BC201" s="808"/>
      <c r="BD201" s="808"/>
      <c r="BE201" s="808"/>
      <c r="BF201" s="808"/>
      <c r="BG201" s="808"/>
      <c r="BH201" s="808"/>
      <c r="BI201" s="808"/>
      <c r="BJ201" s="808"/>
      <c r="BK201" s="808"/>
      <c r="BL201" s="808"/>
      <c r="BM201" s="808"/>
      <c r="BN201" s="808"/>
      <c r="BO201" s="808"/>
      <c r="BP201" s="808"/>
      <c r="BQ201" s="808"/>
      <c r="BR201" s="808"/>
      <c r="BS201" s="808"/>
      <c r="BT201" s="808"/>
      <c r="BU201" s="808"/>
      <c r="BV201" s="808"/>
      <c r="BW201" s="808"/>
      <c r="BX201" s="808"/>
      <c r="BY201" s="808"/>
      <c r="BZ201" s="808"/>
      <c r="CA201" s="808"/>
      <c r="CB201" s="808"/>
      <c r="CC201" s="808"/>
      <c r="CD201" s="808"/>
      <c r="CE201" s="808"/>
      <c r="CF201" s="808"/>
      <c r="CG201" s="808"/>
      <c r="CH201" s="808"/>
      <c r="CI201" s="808"/>
      <c r="CJ201" s="808"/>
      <c r="CK201" s="808"/>
      <c r="CL201" s="808"/>
      <c r="CM201" s="808"/>
      <c r="CN201" s="808"/>
      <c r="CO201" s="808"/>
      <c r="CP201" s="808"/>
      <c r="CQ201" s="808"/>
      <c r="CR201" s="808"/>
      <c r="CS201" s="808"/>
      <c r="CT201" s="808"/>
      <c r="CU201" s="808"/>
      <c r="CV201" s="808"/>
      <c r="CW201" s="808"/>
      <c r="CX201" s="808"/>
      <c r="CY201" s="808"/>
      <c r="CZ201" s="808"/>
      <c r="DA201" s="808"/>
      <c r="DB201" s="808"/>
      <c r="DC201" s="808"/>
      <c r="DD201" s="808"/>
      <c r="DE201" s="808"/>
      <c r="DF201" s="808"/>
      <c r="DG201" s="808"/>
      <c r="DH201" s="808"/>
      <c r="DI201" s="808"/>
      <c r="DJ201" s="808"/>
      <c r="DK201" s="808"/>
      <c r="DL201" s="808"/>
      <c r="DM201" s="808"/>
      <c r="DN201" s="808"/>
      <c r="DO201" s="808"/>
      <c r="DP201" s="808"/>
    </row>
    <row r="202" spans="1:120">
      <c r="A202" s="821"/>
      <c r="B202" s="813" t="s">
        <v>1201</v>
      </c>
      <c r="C202" s="816" t="s">
        <v>82</v>
      </c>
      <c r="D202" s="815">
        <f>+D201</f>
        <v>22890.400000000001</v>
      </c>
      <c r="E202" s="815" t="e">
        <f>+E201</f>
        <v>#REF!</v>
      </c>
      <c r="K202" s="808"/>
      <c r="M202" s="808"/>
      <c r="N202" s="808"/>
      <c r="O202" s="808"/>
      <c r="P202" s="808"/>
      <c r="Q202" s="808"/>
      <c r="R202" s="808"/>
      <c r="S202" s="808"/>
      <c r="T202" s="808"/>
      <c r="U202" s="808"/>
      <c r="V202" s="808"/>
      <c r="W202" s="808"/>
      <c r="X202" s="808"/>
      <c r="Y202" s="808"/>
      <c r="Z202" s="808"/>
      <c r="AA202" s="808"/>
      <c r="AB202" s="808"/>
      <c r="AC202" s="808"/>
      <c r="AD202" s="808"/>
      <c r="AE202" s="808"/>
      <c r="AF202" s="808"/>
      <c r="AG202" s="808"/>
      <c r="AH202" s="808"/>
      <c r="AI202" s="808"/>
      <c r="AJ202" s="808"/>
      <c r="AK202" s="808"/>
      <c r="AL202" s="808"/>
      <c r="AM202" s="808"/>
      <c r="AN202" s="808"/>
      <c r="AO202" s="808"/>
      <c r="AP202" s="808"/>
      <c r="AQ202" s="808"/>
      <c r="AR202" s="808"/>
      <c r="AS202" s="808"/>
      <c r="AT202" s="808"/>
      <c r="AU202" s="808"/>
      <c r="AV202" s="808"/>
      <c r="AW202" s="808"/>
      <c r="AX202" s="808"/>
      <c r="AY202" s="808"/>
      <c r="AZ202" s="808"/>
      <c r="BA202" s="808"/>
      <c r="BB202" s="808"/>
      <c r="BC202" s="808"/>
      <c r="BD202" s="808"/>
      <c r="BE202" s="808"/>
      <c r="BF202" s="808"/>
      <c r="BG202" s="808"/>
      <c r="BH202" s="808"/>
      <c r="BI202" s="808"/>
      <c r="BJ202" s="808"/>
      <c r="BK202" s="808"/>
      <c r="BL202" s="808"/>
      <c r="BM202" s="808"/>
      <c r="BN202" s="808"/>
      <c r="BO202" s="808"/>
      <c r="BP202" s="808"/>
      <c r="BQ202" s="808"/>
      <c r="BR202" s="808"/>
      <c r="BS202" s="808"/>
      <c r="BT202" s="808"/>
      <c r="BU202" s="808"/>
      <c r="BV202" s="808"/>
      <c r="BW202" s="808"/>
      <c r="BX202" s="808"/>
      <c r="BY202" s="808"/>
      <c r="BZ202" s="808"/>
      <c r="CA202" s="808"/>
      <c r="CB202" s="808"/>
      <c r="CC202" s="808"/>
      <c r="CD202" s="808"/>
      <c r="CE202" s="808"/>
      <c r="CF202" s="808"/>
      <c r="CG202" s="808"/>
      <c r="CH202" s="808"/>
      <c r="CI202" s="808"/>
      <c r="CJ202" s="808"/>
      <c r="CK202" s="808"/>
      <c r="CL202" s="808"/>
      <c r="CM202" s="808"/>
      <c r="CN202" s="808"/>
      <c r="CO202" s="808"/>
      <c r="CP202" s="808"/>
      <c r="CQ202" s="808"/>
      <c r="CR202" s="808"/>
      <c r="CS202" s="808"/>
      <c r="CT202" s="808"/>
      <c r="CU202" s="808"/>
      <c r="CV202" s="808"/>
      <c r="CW202" s="808"/>
      <c r="CX202" s="808"/>
      <c r="CY202" s="808"/>
      <c r="CZ202" s="808"/>
      <c r="DA202" s="808"/>
      <c r="DB202" s="808"/>
      <c r="DC202" s="808"/>
      <c r="DD202" s="808"/>
      <c r="DE202" s="808"/>
      <c r="DF202" s="808"/>
      <c r="DG202" s="808"/>
      <c r="DH202" s="808"/>
      <c r="DI202" s="808"/>
      <c r="DJ202" s="808"/>
      <c r="DK202" s="808"/>
      <c r="DL202" s="808"/>
      <c r="DM202" s="808"/>
      <c r="DN202" s="808"/>
      <c r="DO202" s="808"/>
      <c r="DP202" s="808"/>
    </row>
    <row r="203" spans="1:120">
      <c r="A203" s="821"/>
      <c r="B203" s="809" t="s">
        <v>1204</v>
      </c>
      <c r="C203" s="808"/>
      <c r="K203" s="808"/>
      <c r="M203" s="808"/>
      <c r="N203" s="808"/>
      <c r="O203" s="808"/>
      <c r="P203" s="808"/>
      <c r="Q203" s="808"/>
      <c r="R203" s="808"/>
      <c r="S203" s="808"/>
      <c r="T203" s="808"/>
      <c r="U203" s="808"/>
      <c r="V203" s="808"/>
      <c r="W203" s="808"/>
      <c r="X203" s="808"/>
      <c r="Y203" s="808"/>
      <c r="Z203" s="808"/>
      <c r="AA203" s="808"/>
      <c r="AB203" s="808"/>
      <c r="AC203" s="808"/>
      <c r="AD203" s="808"/>
      <c r="AE203" s="808"/>
      <c r="AF203" s="808"/>
      <c r="AG203" s="808"/>
      <c r="AH203" s="808"/>
      <c r="AI203" s="808"/>
      <c r="AJ203" s="808"/>
      <c r="AK203" s="808"/>
      <c r="AL203" s="808"/>
      <c r="AM203" s="808"/>
      <c r="AN203" s="808"/>
      <c r="AO203" s="808"/>
      <c r="AP203" s="808"/>
      <c r="AQ203" s="808"/>
      <c r="AR203" s="808"/>
      <c r="AS203" s="808"/>
      <c r="AT203" s="808"/>
      <c r="AU203" s="808"/>
      <c r="AV203" s="808"/>
      <c r="AW203" s="808"/>
      <c r="AX203" s="808"/>
      <c r="AY203" s="808"/>
      <c r="AZ203" s="808"/>
      <c r="BA203" s="808"/>
      <c r="BB203" s="808"/>
      <c r="BC203" s="808"/>
      <c r="BD203" s="808"/>
      <c r="BE203" s="808"/>
      <c r="BF203" s="808"/>
      <c r="BG203" s="808"/>
      <c r="BH203" s="808"/>
      <c r="BI203" s="808"/>
      <c r="BJ203" s="808"/>
      <c r="BK203" s="808"/>
      <c r="BL203" s="808"/>
      <c r="BM203" s="808"/>
      <c r="BN203" s="808"/>
      <c r="BO203" s="808"/>
      <c r="BP203" s="808"/>
      <c r="BQ203" s="808"/>
      <c r="BR203" s="808"/>
      <c r="BS203" s="808"/>
      <c r="BT203" s="808"/>
      <c r="BU203" s="808"/>
      <c r="BV203" s="808"/>
      <c r="BW203" s="808"/>
      <c r="BX203" s="808"/>
      <c r="BY203" s="808"/>
      <c r="BZ203" s="808"/>
      <c r="CA203" s="808"/>
      <c r="CB203" s="808"/>
      <c r="CC203" s="808"/>
      <c r="CD203" s="808"/>
      <c r="CE203" s="808"/>
      <c r="CF203" s="808"/>
      <c r="CG203" s="808"/>
      <c r="CH203" s="808"/>
      <c r="CI203" s="808"/>
      <c r="CJ203" s="808"/>
      <c r="CK203" s="808"/>
      <c r="CL203" s="808"/>
      <c r="CM203" s="808"/>
      <c r="CN203" s="808"/>
      <c r="CO203" s="808"/>
      <c r="CP203" s="808"/>
      <c r="CQ203" s="808"/>
      <c r="CR203" s="808"/>
      <c r="CS203" s="808"/>
      <c r="CT203" s="808"/>
      <c r="CU203" s="808"/>
      <c r="CV203" s="808"/>
      <c r="CW203" s="808"/>
      <c r="CX203" s="808"/>
      <c r="CY203" s="808"/>
      <c r="CZ203" s="808"/>
      <c r="DA203" s="808"/>
      <c r="DB203" s="808"/>
      <c r="DC203" s="808"/>
      <c r="DD203" s="808"/>
      <c r="DE203" s="808"/>
      <c r="DF203" s="808"/>
      <c r="DG203" s="808"/>
      <c r="DH203" s="808"/>
      <c r="DI203" s="808"/>
      <c r="DJ203" s="808"/>
      <c r="DK203" s="808"/>
      <c r="DL203" s="808"/>
      <c r="DM203" s="808"/>
      <c r="DN203" s="808"/>
      <c r="DO203" s="808"/>
      <c r="DP203" s="808"/>
    </row>
    <row r="204" spans="1:120">
      <c r="A204" s="821"/>
      <c r="B204" s="809"/>
      <c r="C204" s="809" t="s">
        <v>1288</v>
      </c>
      <c r="K204" s="808"/>
      <c r="M204" s="808"/>
      <c r="N204" s="808"/>
      <c r="O204" s="808"/>
      <c r="P204" s="808"/>
      <c r="Q204" s="808"/>
      <c r="R204" s="808"/>
      <c r="S204" s="808"/>
      <c r="T204" s="808"/>
      <c r="U204" s="808"/>
      <c r="V204" s="808"/>
      <c r="W204" s="808"/>
      <c r="X204" s="808"/>
      <c r="Y204" s="808"/>
      <c r="Z204" s="808"/>
      <c r="AA204" s="808"/>
      <c r="AB204" s="808"/>
      <c r="AC204" s="808"/>
      <c r="AD204" s="808"/>
      <c r="AE204" s="808"/>
      <c r="AF204" s="808"/>
      <c r="AG204" s="808"/>
      <c r="AH204" s="808"/>
      <c r="AI204" s="808"/>
      <c r="AJ204" s="808"/>
      <c r="AK204" s="808"/>
      <c r="AL204" s="808"/>
      <c r="AM204" s="808"/>
      <c r="AN204" s="808"/>
      <c r="AO204" s="808"/>
      <c r="AP204" s="808"/>
      <c r="AQ204" s="808"/>
      <c r="AR204" s="808"/>
      <c r="AS204" s="808"/>
      <c r="AT204" s="808"/>
      <c r="AU204" s="808"/>
      <c r="AV204" s="808"/>
      <c r="AW204" s="808"/>
      <c r="AX204" s="808"/>
      <c r="AY204" s="808"/>
      <c r="AZ204" s="808"/>
      <c r="BA204" s="808"/>
      <c r="BB204" s="808"/>
      <c r="BC204" s="808"/>
      <c r="BD204" s="808"/>
      <c r="BE204" s="808"/>
      <c r="BF204" s="808"/>
      <c r="BG204" s="808"/>
      <c r="BH204" s="808"/>
      <c r="BI204" s="808"/>
      <c r="BJ204" s="808"/>
      <c r="BK204" s="808"/>
      <c r="BL204" s="808"/>
      <c r="BM204" s="808"/>
      <c r="BN204" s="808"/>
      <c r="BO204" s="808"/>
      <c r="BP204" s="808"/>
      <c r="BQ204" s="808"/>
      <c r="BR204" s="808"/>
      <c r="BS204" s="808"/>
      <c r="BT204" s="808"/>
      <c r="BU204" s="808"/>
      <c r="BV204" s="808"/>
      <c r="BW204" s="808"/>
      <c r="BX204" s="808"/>
      <c r="BY204" s="808"/>
      <c r="BZ204" s="808"/>
      <c r="CA204" s="808"/>
      <c r="CB204" s="808"/>
      <c r="CC204" s="808"/>
      <c r="CD204" s="808"/>
      <c r="CE204" s="808"/>
      <c r="CF204" s="808"/>
      <c r="CG204" s="808"/>
      <c r="CH204" s="808"/>
      <c r="CI204" s="808"/>
      <c r="CJ204" s="808"/>
      <c r="CK204" s="808"/>
      <c r="CL204" s="808"/>
      <c r="CM204" s="808"/>
      <c r="CN204" s="808"/>
      <c r="CO204" s="808"/>
      <c r="CP204" s="808"/>
      <c r="CQ204" s="808"/>
      <c r="CR204" s="808"/>
      <c r="CS204" s="808"/>
      <c r="CT204" s="808"/>
      <c r="CU204" s="808"/>
      <c r="CV204" s="808"/>
      <c r="CW204" s="808"/>
      <c r="CX204" s="808"/>
      <c r="CY204" s="808"/>
      <c r="CZ204" s="808"/>
      <c r="DA204" s="808"/>
      <c r="DB204" s="808"/>
      <c r="DC204" s="808"/>
      <c r="DD204" s="808"/>
      <c r="DE204" s="808"/>
      <c r="DF204" s="808"/>
      <c r="DG204" s="808"/>
      <c r="DH204" s="808"/>
      <c r="DI204" s="808"/>
      <c r="DJ204" s="808"/>
      <c r="DK204" s="808"/>
      <c r="DL204" s="808"/>
      <c r="DM204" s="808"/>
      <c r="DN204" s="808"/>
      <c r="DO204" s="808"/>
      <c r="DP204" s="808"/>
    </row>
    <row r="205" spans="1:120">
      <c r="A205" s="821"/>
      <c r="B205" s="807"/>
      <c r="C205" s="808"/>
      <c r="G205" s="810" t="s">
        <v>1203</v>
      </c>
      <c r="K205" s="808"/>
      <c r="M205" s="808"/>
      <c r="N205" s="808"/>
      <c r="O205" s="808"/>
      <c r="P205" s="808"/>
      <c r="Q205" s="808"/>
      <c r="R205" s="808"/>
      <c r="S205" s="808"/>
      <c r="T205" s="808"/>
      <c r="U205" s="808"/>
      <c r="V205" s="808"/>
      <c r="W205" s="808"/>
      <c r="X205" s="808"/>
      <c r="Y205" s="808"/>
      <c r="Z205" s="808"/>
      <c r="AA205" s="808"/>
      <c r="AB205" s="808"/>
      <c r="AC205" s="808"/>
      <c r="AD205" s="808"/>
      <c r="AE205" s="808"/>
      <c r="AF205" s="808"/>
      <c r="AG205" s="808"/>
      <c r="AH205" s="808"/>
      <c r="AI205" s="808"/>
      <c r="AJ205" s="808"/>
      <c r="AK205" s="808"/>
      <c r="AL205" s="808"/>
      <c r="AM205" s="808"/>
      <c r="AN205" s="808"/>
      <c r="AO205" s="808"/>
      <c r="AP205" s="808"/>
      <c r="AQ205" s="808"/>
      <c r="AR205" s="808"/>
      <c r="AS205" s="808"/>
      <c r="AT205" s="808"/>
      <c r="AU205" s="808"/>
      <c r="AV205" s="808"/>
      <c r="AW205" s="808"/>
      <c r="AX205" s="808"/>
      <c r="AY205" s="808"/>
      <c r="AZ205" s="808"/>
      <c r="BA205" s="808"/>
      <c r="BB205" s="808"/>
      <c r="BC205" s="808"/>
      <c r="BD205" s="808"/>
      <c r="BE205" s="808"/>
      <c r="BF205" s="808"/>
      <c r="BG205" s="808"/>
      <c r="BH205" s="808"/>
      <c r="BI205" s="808"/>
      <c r="BJ205" s="808"/>
      <c r="BK205" s="808"/>
      <c r="BL205" s="808"/>
      <c r="BM205" s="808"/>
      <c r="BN205" s="808"/>
      <c r="BO205" s="808"/>
      <c r="BP205" s="808"/>
      <c r="BQ205" s="808"/>
      <c r="BR205" s="808"/>
      <c r="BS205" s="808"/>
      <c r="BT205" s="808"/>
      <c r="BU205" s="808"/>
      <c r="BV205" s="808"/>
      <c r="BW205" s="808"/>
      <c r="BX205" s="808"/>
      <c r="BY205" s="808"/>
      <c r="BZ205" s="808"/>
      <c r="CA205" s="808"/>
      <c r="CB205" s="808"/>
      <c r="CC205" s="808"/>
      <c r="CD205" s="808"/>
      <c r="CE205" s="808"/>
      <c r="CF205" s="808"/>
      <c r="CG205" s="808"/>
      <c r="CH205" s="808"/>
      <c r="CI205" s="808"/>
      <c r="CJ205" s="808"/>
      <c r="CK205" s="808"/>
      <c r="CL205" s="808"/>
      <c r="CM205" s="808"/>
      <c r="CN205" s="808"/>
      <c r="CO205" s="808"/>
      <c r="CP205" s="808"/>
      <c r="CQ205" s="808"/>
      <c r="CR205" s="808"/>
      <c r="CS205" s="808"/>
      <c r="CT205" s="808"/>
      <c r="CU205" s="808"/>
      <c r="CV205" s="808"/>
      <c r="CW205" s="808"/>
      <c r="CX205" s="808"/>
      <c r="CY205" s="808"/>
      <c r="CZ205" s="808"/>
      <c r="DA205" s="808"/>
      <c r="DB205" s="808"/>
      <c r="DC205" s="808"/>
      <c r="DD205" s="808"/>
      <c r="DE205" s="808"/>
      <c r="DF205" s="808"/>
      <c r="DG205" s="808"/>
      <c r="DH205" s="808"/>
      <c r="DI205" s="808"/>
      <c r="DJ205" s="808"/>
      <c r="DK205" s="808"/>
      <c r="DL205" s="808"/>
      <c r="DM205" s="808"/>
      <c r="DN205" s="808"/>
      <c r="DO205" s="808"/>
      <c r="DP205" s="808"/>
    </row>
    <row r="206" spans="1:120">
      <c r="A206" s="821"/>
      <c r="B206" s="811" t="s">
        <v>79</v>
      </c>
      <c r="C206" s="811" t="s">
        <v>5</v>
      </c>
      <c r="D206" s="812" t="s">
        <v>322</v>
      </c>
      <c r="E206" s="812" t="s">
        <v>323</v>
      </c>
      <c r="F206" s="812" t="s">
        <v>322</v>
      </c>
      <c r="G206" s="812" t="s">
        <v>323</v>
      </c>
      <c r="K206" s="808"/>
      <c r="M206" s="808"/>
      <c r="N206" s="808"/>
      <c r="O206" s="808"/>
      <c r="P206" s="808"/>
      <c r="Q206" s="808"/>
      <c r="R206" s="808"/>
      <c r="S206" s="808"/>
      <c r="T206" s="808"/>
      <c r="U206" s="808"/>
      <c r="V206" s="808"/>
      <c r="W206" s="808"/>
      <c r="X206" s="808"/>
      <c r="Y206" s="808"/>
      <c r="Z206" s="808"/>
      <c r="AA206" s="808"/>
      <c r="AB206" s="808"/>
      <c r="AC206" s="808"/>
      <c r="AD206" s="808"/>
      <c r="AE206" s="808"/>
      <c r="AF206" s="808"/>
      <c r="AG206" s="808"/>
      <c r="AH206" s="808"/>
      <c r="AI206" s="808"/>
      <c r="AJ206" s="808"/>
      <c r="AK206" s="808"/>
      <c r="AL206" s="808"/>
      <c r="AM206" s="808"/>
      <c r="AN206" s="808"/>
      <c r="AO206" s="808"/>
      <c r="AP206" s="808"/>
      <c r="AQ206" s="808"/>
      <c r="AR206" s="808"/>
      <c r="AS206" s="808"/>
      <c r="AT206" s="808"/>
      <c r="AU206" s="808"/>
      <c r="AV206" s="808"/>
      <c r="AW206" s="808"/>
      <c r="AX206" s="808"/>
      <c r="AY206" s="808"/>
      <c r="AZ206" s="808"/>
      <c r="BA206" s="808"/>
      <c r="BB206" s="808"/>
      <c r="BC206" s="808"/>
      <c r="BD206" s="808"/>
      <c r="BE206" s="808"/>
      <c r="BF206" s="808"/>
      <c r="BG206" s="808"/>
      <c r="BH206" s="808"/>
      <c r="BI206" s="808"/>
      <c r="BJ206" s="808"/>
      <c r="BK206" s="808"/>
      <c r="BL206" s="808"/>
      <c r="BM206" s="808"/>
      <c r="BN206" s="808"/>
      <c r="BO206" s="808"/>
      <c r="BP206" s="808"/>
      <c r="BQ206" s="808"/>
      <c r="BR206" s="808"/>
      <c r="BS206" s="808"/>
      <c r="BT206" s="808"/>
      <c r="BU206" s="808"/>
      <c r="BV206" s="808"/>
      <c r="BW206" s="808"/>
      <c r="BX206" s="808"/>
      <c r="BY206" s="808"/>
      <c r="BZ206" s="808"/>
      <c r="CA206" s="808"/>
      <c r="CB206" s="808"/>
      <c r="CC206" s="808"/>
      <c r="CD206" s="808"/>
      <c r="CE206" s="808"/>
      <c r="CF206" s="808"/>
      <c r="CG206" s="808"/>
      <c r="CH206" s="808"/>
      <c r="CI206" s="808"/>
      <c r="CJ206" s="808"/>
      <c r="CK206" s="808"/>
      <c r="CL206" s="808"/>
      <c r="CM206" s="808"/>
      <c r="CN206" s="808"/>
      <c r="CO206" s="808"/>
      <c r="CP206" s="808"/>
      <c r="CQ206" s="808"/>
      <c r="CR206" s="808"/>
      <c r="CS206" s="808"/>
      <c r="CT206" s="808"/>
      <c r="CU206" s="808"/>
      <c r="CV206" s="808"/>
      <c r="CW206" s="808"/>
      <c r="CX206" s="808"/>
      <c r="CY206" s="808"/>
      <c r="CZ206" s="808"/>
      <c r="DA206" s="808"/>
      <c r="DB206" s="808"/>
      <c r="DC206" s="808"/>
      <c r="DD206" s="808"/>
      <c r="DE206" s="808"/>
      <c r="DF206" s="808"/>
      <c r="DG206" s="808"/>
      <c r="DH206" s="808"/>
      <c r="DI206" s="808"/>
      <c r="DJ206" s="808"/>
      <c r="DK206" s="808"/>
      <c r="DL206" s="808"/>
      <c r="DM206" s="808"/>
      <c r="DN206" s="808"/>
      <c r="DO206" s="808"/>
      <c r="DP206" s="808"/>
    </row>
    <row r="207" spans="1:120">
      <c r="A207" s="821"/>
      <c r="B207" s="813" t="s">
        <v>1220</v>
      </c>
      <c r="C207" s="814" t="s">
        <v>1289</v>
      </c>
      <c r="D207" s="815">
        <v>30202780</v>
      </c>
      <c r="E207" s="815">
        <v>6000000</v>
      </c>
      <c r="F207" s="815">
        <f>+F208+F210</f>
        <v>43481410.904289998</v>
      </c>
      <c r="G207" s="815">
        <f>+G208</f>
        <v>14181818.18</v>
      </c>
      <c r="H207" s="214">
        <f>+F207-balance!D49/1000</f>
        <v>-52204823.506980009</v>
      </c>
      <c r="I207" s="214" t="e">
        <f>+balance!#REF!</f>
        <v>#REF!</v>
      </c>
      <c r="K207" s="808"/>
      <c r="M207" s="808"/>
      <c r="N207" s="808"/>
      <c r="O207" s="808"/>
      <c r="P207" s="808"/>
      <c r="Q207" s="808"/>
      <c r="R207" s="808"/>
      <c r="S207" s="808"/>
      <c r="T207" s="808"/>
      <c r="U207" s="808"/>
      <c r="V207" s="808"/>
      <c r="W207" s="808"/>
      <c r="X207" s="808"/>
      <c r="Y207" s="808"/>
      <c r="Z207" s="808"/>
      <c r="AA207" s="808"/>
      <c r="AB207" s="808"/>
      <c r="AC207" s="808"/>
      <c r="AD207" s="808"/>
      <c r="AE207" s="808"/>
      <c r="AF207" s="808"/>
      <c r="AG207" s="808"/>
      <c r="AH207" s="808"/>
      <c r="AI207" s="808"/>
      <c r="AJ207" s="808"/>
      <c r="AK207" s="808"/>
      <c r="AL207" s="808"/>
      <c r="AM207" s="808"/>
      <c r="AN207" s="808"/>
      <c r="AO207" s="808"/>
      <c r="AP207" s="808"/>
      <c r="AQ207" s="808"/>
      <c r="AR207" s="808"/>
      <c r="AS207" s="808"/>
      <c r="AT207" s="808"/>
      <c r="AU207" s="808"/>
      <c r="AV207" s="808"/>
      <c r="AW207" s="808"/>
      <c r="AX207" s="808"/>
      <c r="AY207" s="808"/>
      <c r="AZ207" s="808"/>
      <c r="BA207" s="808"/>
      <c r="BB207" s="808"/>
      <c r="BC207" s="808"/>
      <c r="BD207" s="808"/>
      <c r="BE207" s="808"/>
      <c r="BF207" s="808"/>
      <c r="BG207" s="808"/>
      <c r="BH207" s="808"/>
      <c r="BI207" s="808"/>
      <c r="BJ207" s="808"/>
      <c r="BK207" s="808"/>
      <c r="BL207" s="808"/>
      <c r="BM207" s="808"/>
      <c r="BN207" s="808"/>
      <c r="BO207" s="808"/>
      <c r="BP207" s="808"/>
      <c r="BQ207" s="808"/>
      <c r="BR207" s="808"/>
      <c r="BS207" s="808"/>
      <c r="BT207" s="808"/>
      <c r="BU207" s="808"/>
      <c r="BV207" s="808"/>
      <c r="BW207" s="808"/>
      <c r="BX207" s="808"/>
      <c r="BY207" s="808"/>
      <c r="BZ207" s="808"/>
      <c r="CA207" s="808"/>
      <c r="CB207" s="808"/>
      <c r="CC207" s="808"/>
      <c r="CD207" s="808"/>
      <c r="CE207" s="808"/>
      <c r="CF207" s="808"/>
      <c r="CG207" s="808"/>
      <c r="CH207" s="808"/>
      <c r="CI207" s="808"/>
      <c r="CJ207" s="808"/>
      <c r="CK207" s="808"/>
      <c r="CL207" s="808"/>
      <c r="CM207" s="808"/>
      <c r="CN207" s="808"/>
      <c r="CO207" s="808"/>
      <c r="CP207" s="808"/>
      <c r="CQ207" s="808"/>
      <c r="CR207" s="808"/>
      <c r="CS207" s="808"/>
      <c r="CT207" s="808"/>
      <c r="CU207" s="808"/>
      <c r="CV207" s="808"/>
      <c r="CW207" s="808"/>
      <c r="CX207" s="808"/>
      <c r="CY207" s="808"/>
      <c r="CZ207" s="808"/>
      <c r="DA207" s="808"/>
      <c r="DB207" s="808"/>
      <c r="DC207" s="808"/>
      <c r="DD207" s="808"/>
      <c r="DE207" s="808"/>
      <c r="DF207" s="808"/>
      <c r="DG207" s="808"/>
      <c r="DH207" s="808"/>
      <c r="DI207" s="808"/>
      <c r="DJ207" s="808"/>
      <c r="DK207" s="808"/>
      <c r="DL207" s="808"/>
      <c r="DM207" s="808"/>
      <c r="DN207" s="808"/>
      <c r="DO207" s="808"/>
      <c r="DP207" s="808"/>
    </row>
    <row r="208" spans="1:120">
      <c r="A208" s="821"/>
      <c r="B208" s="813" t="s">
        <v>1290</v>
      </c>
      <c r="C208" s="814" t="s">
        <v>334</v>
      </c>
      <c r="D208" s="815">
        <v>14562780</v>
      </c>
      <c r="E208" s="815">
        <v>6000000</v>
      </c>
      <c r="F208" s="815">
        <f>37481410904.29/1000</f>
        <v>37481410.904289998</v>
      </c>
      <c r="G208" s="815">
        <v>14181818.18</v>
      </c>
      <c r="I208" s="214" t="e">
        <f>+I207-F207</f>
        <v>#REF!</v>
      </c>
      <c r="K208" s="808"/>
      <c r="M208" s="808"/>
      <c r="N208" s="808"/>
      <c r="O208" s="808"/>
      <c r="P208" s="808"/>
      <c r="Q208" s="808"/>
      <c r="R208" s="808"/>
      <c r="S208" s="808"/>
      <c r="T208" s="808"/>
      <c r="U208" s="808"/>
      <c r="V208" s="808"/>
      <c r="W208" s="808"/>
      <c r="X208" s="808"/>
      <c r="Y208" s="808"/>
      <c r="Z208" s="808"/>
      <c r="AA208" s="808"/>
      <c r="AB208" s="808"/>
      <c r="AC208" s="808"/>
      <c r="AD208" s="808"/>
      <c r="AE208" s="808"/>
      <c r="AF208" s="808"/>
      <c r="AG208" s="808"/>
      <c r="AH208" s="808"/>
      <c r="AI208" s="808"/>
      <c r="AJ208" s="808"/>
      <c r="AK208" s="808"/>
      <c r="AL208" s="808"/>
      <c r="AM208" s="808"/>
      <c r="AN208" s="808"/>
      <c r="AO208" s="808"/>
      <c r="AP208" s="808"/>
      <c r="AQ208" s="808"/>
      <c r="AR208" s="808"/>
      <c r="AS208" s="808"/>
      <c r="AT208" s="808"/>
      <c r="AU208" s="808"/>
      <c r="AV208" s="808"/>
      <c r="AW208" s="808"/>
      <c r="AX208" s="808"/>
      <c r="AY208" s="808"/>
      <c r="AZ208" s="808"/>
      <c r="BA208" s="808"/>
      <c r="BB208" s="808"/>
      <c r="BC208" s="808"/>
      <c r="BD208" s="808"/>
      <c r="BE208" s="808"/>
      <c r="BF208" s="808"/>
      <c r="BG208" s="808"/>
      <c r="BH208" s="808"/>
      <c r="BI208" s="808"/>
      <c r="BJ208" s="808"/>
      <c r="BK208" s="808"/>
      <c r="BL208" s="808"/>
      <c r="BM208" s="808"/>
      <c r="BN208" s="808"/>
      <c r="BO208" s="808"/>
      <c r="BP208" s="808"/>
      <c r="BQ208" s="808"/>
      <c r="BR208" s="808"/>
      <c r="BS208" s="808"/>
      <c r="BT208" s="808"/>
      <c r="BU208" s="808"/>
      <c r="BV208" s="808"/>
      <c r="BW208" s="808"/>
      <c r="BX208" s="808"/>
      <c r="BY208" s="808"/>
      <c r="BZ208" s="808"/>
      <c r="CA208" s="808"/>
      <c r="CB208" s="808"/>
      <c r="CC208" s="808"/>
      <c r="CD208" s="808"/>
      <c r="CE208" s="808"/>
      <c r="CF208" s="808"/>
      <c r="CG208" s="808"/>
      <c r="CH208" s="808"/>
      <c r="CI208" s="808"/>
      <c r="CJ208" s="808"/>
      <c r="CK208" s="808"/>
      <c r="CL208" s="808"/>
      <c r="CM208" s="808"/>
      <c r="CN208" s="808"/>
      <c r="CO208" s="808"/>
      <c r="CP208" s="808"/>
      <c r="CQ208" s="808"/>
      <c r="CR208" s="808"/>
      <c r="CS208" s="808"/>
      <c r="CT208" s="808"/>
      <c r="CU208" s="808"/>
      <c r="CV208" s="808"/>
      <c r="CW208" s="808"/>
      <c r="CX208" s="808"/>
      <c r="CY208" s="808"/>
      <c r="CZ208" s="808"/>
      <c r="DA208" s="808"/>
      <c r="DB208" s="808"/>
      <c r="DC208" s="808"/>
      <c r="DD208" s="808"/>
      <c r="DE208" s="808"/>
      <c r="DF208" s="808"/>
      <c r="DG208" s="808"/>
      <c r="DH208" s="808"/>
      <c r="DI208" s="808"/>
      <c r="DJ208" s="808"/>
      <c r="DK208" s="808"/>
      <c r="DL208" s="808"/>
      <c r="DM208" s="808"/>
      <c r="DN208" s="808"/>
      <c r="DO208" s="808"/>
      <c r="DP208" s="808"/>
    </row>
    <row r="209" spans="1:120" ht="26.4">
      <c r="A209" s="821"/>
      <c r="B209" s="813" t="s">
        <v>1291</v>
      </c>
      <c r="C209" s="814" t="s">
        <v>335</v>
      </c>
      <c r="D209" s="815">
        <v>0</v>
      </c>
      <c r="E209" s="815">
        <v>0</v>
      </c>
      <c r="F209" s="815">
        <v>0</v>
      </c>
      <c r="G209" s="815">
        <v>0</v>
      </c>
      <c r="K209" s="808"/>
      <c r="M209" s="808"/>
      <c r="N209" s="808"/>
      <c r="O209" s="808"/>
      <c r="P209" s="808"/>
      <c r="Q209" s="808"/>
      <c r="R209" s="808"/>
      <c r="S209" s="808"/>
      <c r="T209" s="808"/>
      <c r="U209" s="808"/>
      <c r="V209" s="808"/>
      <c r="W209" s="808"/>
      <c r="X209" s="808"/>
      <c r="Y209" s="808"/>
      <c r="Z209" s="808"/>
      <c r="AA209" s="808"/>
      <c r="AB209" s="808"/>
      <c r="AC209" s="808"/>
      <c r="AD209" s="808"/>
      <c r="AE209" s="808"/>
      <c r="AF209" s="808"/>
      <c r="AG209" s="808"/>
      <c r="AH209" s="808"/>
      <c r="AI209" s="808"/>
      <c r="AJ209" s="808"/>
      <c r="AK209" s="808"/>
      <c r="AL209" s="808"/>
      <c r="AM209" s="808"/>
      <c r="AN209" s="808"/>
      <c r="AO209" s="808"/>
      <c r="AP209" s="808"/>
      <c r="AQ209" s="808"/>
      <c r="AR209" s="808"/>
      <c r="AS209" s="808"/>
      <c r="AT209" s="808"/>
      <c r="AU209" s="808"/>
      <c r="AV209" s="808"/>
      <c r="AW209" s="808"/>
      <c r="AX209" s="808"/>
      <c r="AY209" s="808"/>
      <c r="AZ209" s="808"/>
      <c r="BA209" s="808"/>
      <c r="BB209" s="808"/>
      <c r="BC209" s="808"/>
      <c r="BD209" s="808"/>
      <c r="BE209" s="808"/>
      <c r="BF209" s="808"/>
      <c r="BG209" s="808"/>
      <c r="BH209" s="808"/>
      <c r="BI209" s="808"/>
      <c r="BJ209" s="808"/>
      <c r="BK209" s="808"/>
      <c r="BL209" s="808"/>
      <c r="BM209" s="808"/>
      <c r="BN209" s="808"/>
      <c r="BO209" s="808"/>
      <c r="BP209" s="808"/>
      <c r="BQ209" s="808"/>
      <c r="BR209" s="808"/>
      <c r="BS209" s="808"/>
      <c r="BT209" s="808"/>
      <c r="BU209" s="808"/>
      <c r="BV209" s="808"/>
      <c r="BW209" s="808"/>
      <c r="BX209" s="808"/>
      <c r="BY209" s="808"/>
      <c r="BZ209" s="808"/>
      <c r="CA209" s="808"/>
      <c r="CB209" s="808"/>
      <c r="CC209" s="808"/>
      <c r="CD209" s="808"/>
      <c r="CE209" s="808"/>
      <c r="CF209" s="808"/>
      <c r="CG209" s="808"/>
      <c r="CH209" s="808"/>
      <c r="CI209" s="808"/>
      <c r="CJ209" s="808"/>
      <c r="CK209" s="808"/>
      <c r="CL209" s="808"/>
      <c r="CM209" s="808"/>
      <c r="CN209" s="808"/>
      <c r="CO209" s="808"/>
      <c r="CP209" s="808"/>
      <c r="CQ209" s="808"/>
      <c r="CR209" s="808"/>
      <c r="CS209" s="808"/>
      <c r="CT209" s="808"/>
      <c r="CU209" s="808"/>
      <c r="CV209" s="808"/>
      <c r="CW209" s="808"/>
      <c r="CX209" s="808"/>
      <c r="CY209" s="808"/>
      <c r="CZ209" s="808"/>
      <c r="DA209" s="808"/>
      <c r="DB209" s="808"/>
      <c r="DC209" s="808"/>
      <c r="DD209" s="808"/>
      <c r="DE209" s="808"/>
      <c r="DF209" s="808"/>
      <c r="DG209" s="808"/>
      <c r="DH209" s="808"/>
      <c r="DI209" s="808"/>
      <c r="DJ209" s="808"/>
      <c r="DK209" s="808"/>
      <c r="DL209" s="808"/>
      <c r="DM209" s="808"/>
      <c r="DN209" s="808"/>
      <c r="DO209" s="808"/>
      <c r="DP209" s="808"/>
    </row>
    <row r="210" spans="1:120">
      <c r="A210" s="821"/>
      <c r="B210" s="813" t="s">
        <v>1292</v>
      </c>
      <c r="C210" s="814" t="s">
        <v>336</v>
      </c>
      <c r="D210" s="815">
        <v>15640000</v>
      </c>
      <c r="E210" s="815">
        <v>0</v>
      </c>
      <c r="F210" s="815">
        <f>6000000000/1000</f>
        <v>6000000</v>
      </c>
      <c r="G210" s="815">
        <v>0</v>
      </c>
      <c r="K210" s="808"/>
      <c r="M210" s="808"/>
      <c r="N210" s="808"/>
      <c r="O210" s="808"/>
      <c r="P210" s="808"/>
      <c r="Q210" s="808"/>
      <c r="R210" s="808"/>
      <c r="S210" s="808"/>
      <c r="T210" s="808"/>
      <c r="U210" s="808"/>
      <c r="V210" s="808"/>
      <c r="W210" s="808"/>
      <c r="X210" s="808"/>
      <c r="Y210" s="808"/>
      <c r="Z210" s="808"/>
      <c r="AA210" s="808"/>
      <c r="AB210" s="808"/>
      <c r="AC210" s="808"/>
      <c r="AD210" s="808"/>
      <c r="AE210" s="808"/>
      <c r="AF210" s="808"/>
      <c r="AG210" s="808"/>
      <c r="AH210" s="808"/>
      <c r="AI210" s="808"/>
      <c r="AJ210" s="808"/>
      <c r="AK210" s="808"/>
      <c r="AL210" s="808"/>
      <c r="AM210" s="808"/>
      <c r="AN210" s="808"/>
      <c r="AO210" s="808"/>
      <c r="AP210" s="808"/>
      <c r="AQ210" s="808"/>
      <c r="AR210" s="808"/>
      <c r="AS210" s="808"/>
      <c r="AT210" s="808"/>
      <c r="AU210" s="808"/>
      <c r="AV210" s="808"/>
      <c r="AW210" s="808"/>
      <c r="AX210" s="808"/>
      <c r="AY210" s="808"/>
      <c r="AZ210" s="808"/>
      <c r="BA210" s="808"/>
      <c r="BB210" s="808"/>
      <c r="BC210" s="808"/>
      <c r="BD210" s="808"/>
      <c r="BE210" s="808"/>
      <c r="BF210" s="808"/>
      <c r="BG210" s="808"/>
      <c r="BH210" s="808"/>
      <c r="BI210" s="808"/>
      <c r="BJ210" s="808"/>
      <c r="BK210" s="808"/>
      <c r="BL210" s="808"/>
      <c r="BM210" s="808"/>
      <c r="BN210" s="808"/>
      <c r="BO210" s="808"/>
      <c r="BP210" s="808"/>
      <c r="BQ210" s="808"/>
      <c r="BR210" s="808"/>
      <c r="BS210" s="808"/>
      <c r="BT210" s="808"/>
      <c r="BU210" s="808"/>
      <c r="BV210" s="808"/>
      <c r="BW210" s="808"/>
      <c r="BX210" s="808"/>
      <c r="BY210" s="808"/>
      <c r="BZ210" s="808"/>
      <c r="CA210" s="808"/>
      <c r="CB210" s="808"/>
      <c r="CC210" s="808"/>
      <c r="CD210" s="808"/>
      <c r="CE210" s="808"/>
      <c r="CF210" s="808"/>
      <c r="CG210" s="808"/>
      <c r="CH210" s="808"/>
      <c r="CI210" s="808"/>
      <c r="CJ210" s="808"/>
      <c r="CK210" s="808"/>
      <c r="CL210" s="808"/>
      <c r="CM210" s="808"/>
      <c r="CN210" s="808"/>
      <c r="CO210" s="808"/>
      <c r="CP210" s="808"/>
      <c r="CQ210" s="808"/>
      <c r="CR210" s="808"/>
      <c r="CS210" s="808"/>
      <c r="CT210" s="808"/>
      <c r="CU210" s="808"/>
      <c r="CV210" s="808"/>
      <c r="CW210" s="808"/>
      <c r="CX210" s="808"/>
      <c r="CY210" s="808"/>
      <c r="CZ210" s="808"/>
      <c r="DA210" s="808"/>
      <c r="DB210" s="808"/>
      <c r="DC210" s="808"/>
      <c r="DD210" s="808"/>
      <c r="DE210" s="808"/>
      <c r="DF210" s="808"/>
      <c r="DG210" s="808"/>
      <c r="DH210" s="808"/>
      <c r="DI210" s="808"/>
      <c r="DJ210" s="808"/>
      <c r="DK210" s="808"/>
      <c r="DL210" s="808"/>
      <c r="DM210" s="808"/>
      <c r="DN210" s="808"/>
      <c r="DO210" s="808"/>
      <c r="DP210" s="808"/>
    </row>
    <row r="211" spans="1:120">
      <c r="A211" s="821"/>
      <c r="B211" s="813" t="s">
        <v>1206</v>
      </c>
      <c r="C211" s="814" t="s">
        <v>1293</v>
      </c>
      <c r="D211" s="815">
        <v>0</v>
      </c>
      <c r="E211" s="815">
        <v>0</v>
      </c>
      <c r="F211" s="815">
        <v>0</v>
      </c>
      <c r="G211" s="815">
        <v>0</v>
      </c>
      <c r="K211" s="808"/>
      <c r="M211" s="808"/>
      <c r="N211" s="808"/>
      <c r="O211" s="808"/>
      <c r="P211" s="808"/>
      <c r="Q211" s="808"/>
      <c r="R211" s="808"/>
      <c r="S211" s="808"/>
      <c r="T211" s="808"/>
      <c r="U211" s="808"/>
      <c r="V211" s="808"/>
      <c r="W211" s="808"/>
      <c r="X211" s="808"/>
      <c r="Y211" s="808"/>
      <c r="Z211" s="808"/>
      <c r="AA211" s="808"/>
      <c r="AB211" s="808"/>
      <c r="AC211" s="808"/>
      <c r="AD211" s="808"/>
      <c r="AE211" s="808"/>
      <c r="AF211" s="808"/>
      <c r="AG211" s="808"/>
      <c r="AH211" s="808"/>
      <c r="AI211" s="808"/>
      <c r="AJ211" s="808"/>
      <c r="AK211" s="808"/>
      <c r="AL211" s="808"/>
      <c r="AM211" s="808"/>
      <c r="AN211" s="808"/>
      <c r="AO211" s="808"/>
      <c r="AP211" s="808"/>
      <c r="AQ211" s="808"/>
      <c r="AR211" s="808"/>
      <c r="AS211" s="808"/>
      <c r="AT211" s="808"/>
      <c r="AU211" s="808"/>
      <c r="AV211" s="808"/>
      <c r="AW211" s="808"/>
      <c r="AX211" s="808"/>
      <c r="AY211" s="808"/>
      <c r="AZ211" s="808"/>
      <c r="BA211" s="808"/>
      <c r="BB211" s="808"/>
      <c r="BC211" s="808"/>
      <c r="BD211" s="808"/>
      <c r="BE211" s="808"/>
      <c r="BF211" s="808"/>
      <c r="BG211" s="808"/>
      <c r="BH211" s="808"/>
      <c r="BI211" s="808"/>
      <c r="BJ211" s="808"/>
      <c r="BK211" s="808"/>
      <c r="BL211" s="808"/>
      <c r="BM211" s="808"/>
      <c r="BN211" s="808"/>
      <c r="BO211" s="808"/>
      <c r="BP211" s="808"/>
      <c r="BQ211" s="808"/>
      <c r="BR211" s="808"/>
      <c r="BS211" s="808"/>
      <c r="BT211" s="808"/>
      <c r="BU211" s="808"/>
      <c r="BV211" s="808"/>
      <c r="BW211" s="808"/>
      <c r="BX211" s="808"/>
      <c r="BY211" s="808"/>
      <c r="BZ211" s="808"/>
      <c r="CA211" s="808"/>
      <c r="CB211" s="808"/>
      <c r="CC211" s="808"/>
      <c r="CD211" s="808"/>
      <c r="CE211" s="808"/>
      <c r="CF211" s="808"/>
      <c r="CG211" s="808"/>
      <c r="CH211" s="808"/>
      <c r="CI211" s="808"/>
      <c r="CJ211" s="808"/>
      <c r="CK211" s="808"/>
      <c r="CL211" s="808"/>
      <c r="CM211" s="808"/>
      <c r="CN211" s="808"/>
      <c r="CO211" s="808"/>
      <c r="CP211" s="808"/>
      <c r="CQ211" s="808"/>
      <c r="CR211" s="808"/>
      <c r="CS211" s="808"/>
      <c r="CT211" s="808"/>
      <c r="CU211" s="808"/>
      <c r="CV211" s="808"/>
      <c r="CW211" s="808"/>
      <c r="CX211" s="808"/>
      <c r="CY211" s="808"/>
      <c r="CZ211" s="808"/>
      <c r="DA211" s="808"/>
      <c r="DB211" s="808"/>
      <c r="DC211" s="808"/>
      <c r="DD211" s="808"/>
      <c r="DE211" s="808"/>
      <c r="DF211" s="808"/>
      <c r="DG211" s="808"/>
      <c r="DH211" s="808"/>
      <c r="DI211" s="808"/>
      <c r="DJ211" s="808"/>
      <c r="DK211" s="808"/>
      <c r="DL211" s="808"/>
      <c r="DM211" s="808"/>
      <c r="DN211" s="808"/>
      <c r="DO211" s="808"/>
      <c r="DP211" s="808"/>
    </row>
    <row r="212" spans="1:120" ht="26.4">
      <c r="A212" s="821"/>
      <c r="B212" s="813" t="s">
        <v>1294</v>
      </c>
      <c r="C212" s="814" t="s">
        <v>1295</v>
      </c>
      <c r="D212" s="815">
        <v>0</v>
      </c>
      <c r="E212" s="815">
        <v>0</v>
      </c>
      <c r="F212" s="815">
        <v>0</v>
      </c>
      <c r="G212" s="815">
        <v>0</v>
      </c>
      <c r="K212" s="808"/>
      <c r="M212" s="808"/>
      <c r="N212" s="808"/>
      <c r="O212" s="808"/>
      <c r="P212" s="808"/>
      <c r="Q212" s="808"/>
      <c r="R212" s="808"/>
      <c r="S212" s="808"/>
      <c r="T212" s="808"/>
      <c r="U212" s="808"/>
      <c r="V212" s="808"/>
      <c r="W212" s="808"/>
      <c r="X212" s="808"/>
      <c r="Y212" s="808"/>
      <c r="Z212" s="808"/>
      <c r="AA212" s="808"/>
      <c r="AB212" s="808"/>
      <c r="AC212" s="808"/>
      <c r="AD212" s="808"/>
      <c r="AE212" s="808"/>
      <c r="AF212" s="808"/>
      <c r="AG212" s="808"/>
      <c r="AH212" s="808"/>
      <c r="AI212" s="808"/>
      <c r="AJ212" s="808"/>
      <c r="AK212" s="808"/>
      <c r="AL212" s="808"/>
      <c r="AM212" s="808"/>
      <c r="AN212" s="808"/>
      <c r="AO212" s="808"/>
      <c r="AP212" s="808"/>
      <c r="AQ212" s="808"/>
      <c r="AR212" s="808"/>
      <c r="AS212" s="808"/>
      <c r="AT212" s="808"/>
      <c r="AU212" s="808"/>
      <c r="AV212" s="808"/>
      <c r="AW212" s="808"/>
      <c r="AX212" s="808"/>
      <c r="AY212" s="808"/>
      <c r="AZ212" s="808"/>
      <c r="BA212" s="808"/>
      <c r="BB212" s="808"/>
      <c r="BC212" s="808"/>
      <c r="BD212" s="808"/>
      <c r="BE212" s="808"/>
      <c r="BF212" s="808"/>
      <c r="BG212" s="808"/>
      <c r="BH212" s="808"/>
      <c r="BI212" s="808"/>
      <c r="BJ212" s="808"/>
      <c r="BK212" s="808"/>
      <c r="BL212" s="808"/>
      <c r="BM212" s="808"/>
      <c r="BN212" s="808"/>
      <c r="BO212" s="808"/>
      <c r="BP212" s="808"/>
      <c r="BQ212" s="808"/>
      <c r="BR212" s="808"/>
      <c r="BS212" s="808"/>
      <c r="BT212" s="808"/>
      <c r="BU212" s="808"/>
      <c r="BV212" s="808"/>
      <c r="BW212" s="808"/>
      <c r="BX212" s="808"/>
      <c r="BY212" s="808"/>
      <c r="BZ212" s="808"/>
      <c r="CA212" s="808"/>
      <c r="CB212" s="808"/>
      <c r="CC212" s="808"/>
      <c r="CD212" s="808"/>
      <c r="CE212" s="808"/>
      <c r="CF212" s="808"/>
      <c r="CG212" s="808"/>
      <c r="CH212" s="808"/>
      <c r="CI212" s="808"/>
      <c r="CJ212" s="808"/>
      <c r="CK212" s="808"/>
      <c r="CL212" s="808"/>
      <c r="CM212" s="808"/>
      <c r="CN212" s="808"/>
      <c r="CO212" s="808"/>
      <c r="CP212" s="808"/>
      <c r="CQ212" s="808"/>
      <c r="CR212" s="808"/>
      <c r="CS212" s="808"/>
      <c r="CT212" s="808"/>
      <c r="CU212" s="808"/>
      <c r="CV212" s="808"/>
      <c r="CW212" s="808"/>
      <c r="CX212" s="808"/>
      <c r="CY212" s="808"/>
      <c r="CZ212" s="808"/>
      <c r="DA212" s="808"/>
      <c r="DB212" s="808"/>
      <c r="DC212" s="808"/>
      <c r="DD212" s="808"/>
      <c r="DE212" s="808"/>
      <c r="DF212" s="808"/>
      <c r="DG212" s="808"/>
      <c r="DH212" s="808"/>
      <c r="DI212" s="808"/>
      <c r="DJ212" s="808"/>
      <c r="DK212" s="808"/>
      <c r="DL212" s="808"/>
      <c r="DM212" s="808"/>
      <c r="DN212" s="808"/>
      <c r="DO212" s="808"/>
      <c r="DP212" s="808"/>
    </row>
    <row r="213" spans="1:120">
      <c r="A213" s="821"/>
      <c r="B213" s="813" t="s">
        <v>1296</v>
      </c>
      <c r="C213" s="814"/>
      <c r="D213" s="815">
        <v>0</v>
      </c>
      <c r="E213" s="815">
        <v>0</v>
      </c>
      <c r="F213" s="815">
        <v>0</v>
      </c>
      <c r="G213" s="815">
        <v>0</v>
      </c>
      <c r="K213" s="808"/>
      <c r="M213" s="808"/>
      <c r="N213" s="808"/>
      <c r="O213" s="808"/>
      <c r="P213" s="808"/>
      <c r="Q213" s="808"/>
      <c r="R213" s="808"/>
      <c r="S213" s="808"/>
      <c r="T213" s="808"/>
      <c r="U213" s="808"/>
      <c r="V213" s="808"/>
      <c r="W213" s="808"/>
      <c r="X213" s="808"/>
      <c r="Y213" s="808"/>
      <c r="Z213" s="808"/>
      <c r="AA213" s="808"/>
      <c r="AB213" s="808"/>
      <c r="AC213" s="808"/>
      <c r="AD213" s="808"/>
      <c r="AE213" s="808"/>
      <c r="AF213" s="808"/>
      <c r="AG213" s="808"/>
      <c r="AH213" s="808"/>
      <c r="AI213" s="808"/>
      <c r="AJ213" s="808"/>
      <c r="AK213" s="808"/>
      <c r="AL213" s="808"/>
      <c r="AM213" s="808"/>
      <c r="AN213" s="808"/>
      <c r="AO213" s="808"/>
      <c r="AP213" s="808"/>
      <c r="AQ213" s="808"/>
      <c r="AR213" s="808"/>
      <c r="AS213" s="808"/>
      <c r="AT213" s="808"/>
      <c r="AU213" s="808"/>
      <c r="AV213" s="808"/>
      <c r="AW213" s="808"/>
      <c r="AX213" s="808"/>
      <c r="AY213" s="808"/>
      <c r="AZ213" s="808"/>
      <c r="BA213" s="808"/>
      <c r="BB213" s="808"/>
      <c r="BC213" s="808"/>
      <c r="BD213" s="808"/>
      <c r="BE213" s="808"/>
      <c r="BF213" s="808"/>
      <c r="BG213" s="808"/>
      <c r="BH213" s="808"/>
      <c r="BI213" s="808"/>
      <c r="BJ213" s="808"/>
      <c r="BK213" s="808"/>
      <c r="BL213" s="808"/>
      <c r="BM213" s="808"/>
      <c r="BN213" s="808"/>
      <c r="BO213" s="808"/>
      <c r="BP213" s="808"/>
      <c r="BQ213" s="808"/>
      <c r="BR213" s="808"/>
      <c r="BS213" s="808"/>
      <c r="BT213" s="808"/>
      <c r="BU213" s="808"/>
      <c r="BV213" s="808"/>
      <c r="BW213" s="808"/>
      <c r="BX213" s="808"/>
      <c r="BY213" s="808"/>
      <c r="BZ213" s="808"/>
      <c r="CA213" s="808"/>
      <c r="CB213" s="808"/>
      <c r="CC213" s="808"/>
      <c r="CD213" s="808"/>
      <c r="CE213" s="808"/>
      <c r="CF213" s="808"/>
      <c r="CG213" s="808"/>
      <c r="CH213" s="808"/>
      <c r="CI213" s="808"/>
      <c r="CJ213" s="808"/>
      <c r="CK213" s="808"/>
      <c r="CL213" s="808"/>
      <c r="CM213" s="808"/>
      <c r="CN213" s="808"/>
      <c r="CO213" s="808"/>
      <c r="CP213" s="808"/>
      <c r="CQ213" s="808"/>
      <c r="CR213" s="808"/>
      <c r="CS213" s="808"/>
      <c r="CT213" s="808"/>
      <c r="CU213" s="808"/>
      <c r="CV213" s="808"/>
      <c r="CW213" s="808"/>
      <c r="CX213" s="808"/>
      <c r="CY213" s="808"/>
      <c r="CZ213" s="808"/>
      <c r="DA213" s="808"/>
      <c r="DB213" s="808"/>
      <c r="DC213" s="808"/>
      <c r="DD213" s="808"/>
      <c r="DE213" s="808"/>
      <c r="DF213" s="808"/>
      <c r="DG213" s="808"/>
      <c r="DH213" s="808"/>
      <c r="DI213" s="808"/>
      <c r="DJ213" s="808"/>
      <c r="DK213" s="808"/>
      <c r="DL213" s="808"/>
      <c r="DM213" s="808"/>
      <c r="DN213" s="808"/>
      <c r="DO213" s="808"/>
      <c r="DP213" s="808"/>
    </row>
    <row r="214" spans="1:120">
      <c r="A214" s="821"/>
      <c r="B214" s="809" t="s">
        <v>1204</v>
      </c>
      <c r="C214" s="808"/>
      <c r="K214" s="808"/>
      <c r="M214" s="808"/>
      <c r="N214" s="808"/>
      <c r="O214" s="808"/>
      <c r="P214" s="808"/>
      <c r="Q214" s="808"/>
      <c r="R214" s="808"/>
      <c r="S214" s="808"/>
      <c r="T214" s="808"/>
      <c r="U214" s="808"/>
      <c r="V214" s="808"/>
      <c r="W214" s="808"/>
      <c r="X214" s="808"/>
      <c r="Y214" s="808"/>
      <c r="Z214" s="808"/>
      <c r="AA214" s="808"/>
      <c r="AB214" s="808"/>
      <c r="AC214" s="808"/>
      <c r="AD214" s="808"/>
      <c r="AE214" s="808"/>
      <c r="AF214" s="808"/>
      <c r="AG214" s="808"/>
      <c r="AH214" s="808"/>
      <c r="AI214" s="808"/>
      <c r="AJ214" s="808"/>
      <c r="AK214" s="808"/>
      <c r="AL214" s="808"/>
      <c r="AM214" s="808"/>
      <c r="AN214" s="808"/>
      <c r="AO214" s="808"/>
      <c r="AP214" s="808"/>
      <c r="AQ214" s="808"/>
      <c r="AR214" s="808"/>
      <c r="AS214" s="808"/>
      <c r="AT214" s="808"/>
      <c r="AU214" s="808"/>
      <c r="AV214" s="808"/>
      <c r="AW214" s="808"/>
      <c r="AX214" s="808"/>
      <c r="AY214" s="808"/>
      <c r="AZ214" s="808"/>
      <c r="BA214" s="808"/>
      <c r="BB214" s="808"/>
      <c r="BC214" s="808"/>
      <c r="BD214" s="808"/>
      <c r="BE214" s="808"/>
      <c r="BF214" s="808"/>
      <c r="BG214" s="808"/>
      <c r="BH214" s="808"/>
      <c r="BI214" s="808"/>
      <c r="BJ214" s="808"/>
      <c r="BK214" s="808"/>
      <c r="BL214" s="808"/>
      <c r="BM214" s="808"/>
      <c r="BN214" s="808"/>
      <c r="BO214" s="808"/>
      <c r="BP214" s="808"/>
      <c r="BQ214" s="808"/>
      <c r="BR214" s="808"/>
      <c r="BS214" s="808"/>
      <c r="BT214" s="808"/>
      <c r="BU214" s="808"/>
      <c r="BV214" s="808"/>
      <c r="BW214" s="808"/>
      <c r="BX214" s="808"/>
      <c r="BY214" s="808"/>
      <c r="BZ214" s="808"/>
      <c r="CA214" s="808"/>
      <c r="CB214" s="808"/>
      <c r="CC214" s="808"/>
      <c r="CD214" s="808"/>
      <c r="CE214" s="808"/>
      <c r="CF214" s="808"/>
      <c r="CG214" s="808"/>
      <c r="CH214" s="808"/>
      <c r="CI214" s="808"/>
      <c r="CJ214" s="808"/>
      <c r="CK214" s="808"/>
      <c r="CL214" s="808"/>
      <c r="CM214" s="808"/>
      <c r="CN214" s="808"/>
      <c r="CO214" s="808"/>
      <c r="CP214" s="808"/>
      <c r="CQ214" s="808"/>
      <c r="CR214" s="808"/>
      <c r="CS214" s="808"/>
      <c r="CT214" s="808"/>
      <c r="CU214" s="808"/>
      <c r="CV214" s="808"/>
      <c r="CW214" s="808"/>
      <c r="CX214" s="808"/>
      <c r="CY214" s="808"/>
      <c r="CZ214" s="808"/>
      <c r="DA214" s="808"/>
      <c r="DB214" s="808"/>
      <c r="DC214" s="808"/>
      <c r="DD214" s="808"/>
      <c r="DE214" s="808"/>
      <c r="DF214" s="808"/>
      <c r="DG214" s="808"/>
      <c r="DH214" s="808"/>
      <c r="DI214" s="808"/>
      <c r="DJ214" s="808"/>
      <c r="DK214" s="808"/>
      <c r="DL214" s="808"/>
      <c r="DM214" s="808"/>
      <c r="DN214" s="808"/>
      <c r="DO214" s="808"/>
      <c r="DP214" s="808"/>
    </row>
    <row r="215" spans="1:120">
      <c r="A215" s="821"/>
      <c r="B215" s="809"/>
      <c r="C215" s="808"/>
      <c r="K215" s="808"/>
      <c r="M215" s="808"/>
      <c r="N215" s="808"/>
      <c r="O215" s="808"/>
      <c r="P215" s="808"/>
      <c r="Q215" s="808"/>
      <c r="R215" s="808"/>
      <c r="S215" s="808"/>
      <c r="T215" s="808"/>
      <c r="U215" s="808"/>
      <c r="V215" s="808"/>
      <c r="W215" s="808"/>
      <c r="X215" s="808"/>
      <c r="Y215" s="808"/>
      <c r="Z215" s="808"/>
      <c r="AA215" s="808"/>
      <c r="AB215" s="808"/>
      <c r="AC215" s="808"/>
      <c r="AD215" s="808"/>
      <c r="AE215" s="808"/>
      <c r="AF215" s="808"/>
      <c r="AG215" s="808"/>
      <c r="AH215" s="808"/>
      <c r="AI215" s="808"/>
      <c r="AJ215" s="808"/>
      <c r="AK215" s="808"/>
      <c r="AL215" s="808"/>
      <c r="AM215" s="808"/>
      <c r="AN215" s="808"/>
      <c r="AO215" s="808"/>
      <c r="AP215" s="808"/>
      <c r="AQ215" s="808"/>
      <c r="AR215" s="808"/>
      <c r="AS215" s="808"/>
      <c r="AT215" s="808"/>
      <c r="AU215" s="808"/>
      <c r="AV215" s="808"/>
      <c r="AW215" s="808"/>
      <c r="AX215" s="808"/>
      <c r="AY215" s="808"/>
      <c r="AZ215" s="808"/>
      <c r="BA215" s="808"/>
      <c r="BB215" s="808"/>
      <c r="BC215" s="808"/>
      <c r="BD215" s="808"/>
      <c r="BE215" s="808"/>
      <c r="BF215" s="808"/>
      <c r="BG215" s="808"/>
      <c r="BH215" s="808"/>
      <c r="BI215" s="808"/>
      <c r="BJ215" s="808"/>
      <c r="BK215" s="808"/>
      <c r="BL215" s="808"/>
      <c r="BM215" s="808"/>
      <c r="BN215" s="808"/>
      <c r="BO215" s="808"/>
      <c r="BP215" s="808"/>
      <c r="BQ215" s="808"/>
      <c r="BR215" s="808"/>
      <c r="BS215" s="808"/>
      <c r="BT215" s="808"/>
      <c r="BU215" s="808"/>
      <c r="BV215" s="808"/>
      <c r="BW215" s="808"/>
      <c r="BX215" s="808"/>
      <c r="BY215" s="808"/>
      <c r="BZ215" s="808"/>
      <c r="CA215" s="808"/>
      <c r="CB215" s="808"/>
      <c r="CC215" s="808"/>
      <c r="CD215" s="808"/>
      <c r="CE215" s="808"/>
      <c r="CF215" s="808"/>
      <c r="CG215" s="808"/>
      <c r="CH215" s="808"/>
      <c r="CI215" s="808"/>
      <c r="CJ215" s="808"/>
      <c r="CK215" s="808"/>
      <c r="CL215" s="808"/>
      <c r="CM215" s="808"/>
      <c r="CN215" s="808"/>
      <c r="CO215" s="808"/>
      <c r="CP215" s="808"/>
      <c r="CQ215" s="808"/>
      <c r="CR215" s="808"/>
      <c r="CS215" s="808"/>
      <c r="CT215" s="808"/>
      <c r="CU215" s="808"/>
      <c r="CV215" s="808"/>
      <c r="CW215" s="808"/>
      <c r="CX215" s="808"/>
      <c r="CY215" s="808"/>
      <c r="CZ215" s="808"/>
      <c r="DA215" s="808"/>
      <c r="DB215" s="808"/>
      <c r="DC215" s="808"/>
      <c r="DD215" s="808"/>
      <c r="DE215" s="808"/>
      <c r="DF215" s="808"/>
      <c r="DG215" s="808"/>
      <c r="DH215" s="808"/>
      <c r="DI215" s="808"/>
      <c r="DJ215" s="808"/>
      <c r="DK215" s="808"/>
      <c r="DL215" s="808"/>
      <c r="DM215" s="808"/>
      <c r="DN215" s="808"/>
      <c r="DO215" s="808"/>
      <c r="DP215" s="808"/>
    </row>
    <row r="216" spans="1:120">
      <c r="A216" s="821"/>
      <c r="B216" s="809" t="s">
        <v>1297</v>
      </c>
      <c r="C216" s="808"/>
      <c r="K216" s="808"/>
      <c r="M216" s="808"/>
      <c r="N216" s="808"/>
      <c r="O216" s="808"/>
      <c r="P216" s="808"/>
      <c r="Q216" s="808"/>
      <c r="R216" s="808"/>
      <c r="S216" s="808"/>
      <c r="T216" s="808"/>
      <c r="U216" s="808"/>
      <c r="V216" s="808"/>
      <c r="W216" s="808"/>
      <c r="X216" s="808"/>
      <c r="Y216" s="808"/>
      <c r="Z216" s="808"/>
      <c r="AA216" s="808"/>
      <c r="AB216" s="808"/>
      <c r="AC216" s="808"/>
      <c r="AD216" s="808"/>
      <c r="AE216" s="808"/>
      <c r="AF216" s="808"/>
      <c r="AG216" s="808"/>
      <c r="AH216" s="808"/>
      <c r="AI216" s="808"/>
      <c r="AJ216" s="808"/>
      <c r="AK216" s="808"/>
      <c r="AL216" s="808"/>
      <c r="AM216" s="808"/>
      <c r="AN216" s="808"/>
      <c r="AO216" s="808"/>
      <c r="AP216" s="808"/>
      <c r="AQ216" s="808"/>
      <c r="AR216" s="808"/>
      <c r="AS216" s="808"/>
      <c r="AT216" s="808"/>
      <c r="AU216" s="808"/>
      <c r="AV216" s="808"/>
      <c r="AW216" s="808"/>
      <c r="AX216" s="808"/>
      <c r="AY216" s="808"/>
      <c r="AZ216" s="808"/>
      <c r="BA216" s="808"/>
      <c r="BB216" s="808"/>
      <c r="BC216" s="808"/>
      <c r="BD216" s="808"/>
      <c r="BE216" s="808"/>
      <c r="BF216" s="808"/>
      <c r="BG216" s="808"/>
      <c r="BH216" s="808"/>
      <c r="BI216" s="808"/>
      <c r="BJ216" s="808"/>
      <c r="BK216" s="808"/>
      <c r="BL216" s="808"/>
      <c r="BM216" s="808"/>
      <c r="BN216" s="808"/>
      <c r="BO216" s="808"/>
      <c r="BP216" s="808"/>
      <c r="BQ216" s="808"/>
      <c r="BR216" s="808"/>
      <c r="BS216" s="808"/>
      <c r="BT216" s="808"/>
      <c r="BU216" s="808"/>
      <c r="BV216" s="808"/>
      <c r="BW216" s="808"/>
      <c r="BX216" s="808"/>
      <c r="BY216" s="808"/>
      <c r="BZ216" s="808"/>
      <c r="CA216" s="808"/>
      <c r="CB216" s="808"/>
      <c r="CC216" s="808"/>
      <c r="CD216" s="808"/>
      <c r="CE216" s="808"/>
      <c r="CF216" s="808"/>
      <c r="CG216" s="808"/>
      <c r="CH216" s="808"/>
      <c r="CI216" s="808"/>
      <c r="CJ216" s="808"/>
      <c r="CK216" s="808"/>
      <c r="CL216" s="808"/>
      <c r="CM216" s="808"/>
      <c r="CN216" s="808"/>
      <c r="CO216" s="808"/>
      <c r="CP216" s="808"/>
      <c r="CQ216" s="808"/>
      <c r="CR216" s="808"/>
      <c r="CS216" s="808"/>
      <c r="CT216" s="808"/>
      <c r="CU216" s="808"/>
      <c r="CV216" s="808"/>
      <c r="CW216" s="808"/>
      <c r="CX216" s="808"/>
      <c r="CY216" s="808"/>
      <c r="CZ216" s="808"/>
      <c r="DA216" s="808"/>
      <c r="DB216" s="808"/>
      <c r="DC216" s="808"/>
      <c r="DD216" s="808"/>
      <c r="DE216" s="808"/>
      <c r="DF216" s="808"/>
      <c r="DG216" s="808"/>
      <c r="DH216" s="808"/>
      <c r="DI216" s="808"/>
      <c r="DJ216" s="808"/>
      <c r="DK216" s="808"/>
      <c r="DL216" s="808"/>
      <c r="DM216" s="808"/>
      <c r="DN216" s="808"/>
      <c r="DO216" s="808"/>
      <c r="DP216" s="808"/>
    </row>
    <row r="217" spans="1:120">
      <c r="A217" s="821"/>
      <c r="B217" s="807"/>
      <c r="C217" s="808"/>
      <c r="H217" s="810" t="s">
        <v>1203</v>
      </c>
      <c r="K217" s="808"/>
      <c r="M217" s="808"/>
      <c r="N217" s="808"/>
      <c r="O217" s="808"/>
      <c r="P217" s="808"/>
      <c r="Q217" s="808"/>
      <c r="R217" s="808"/>
      <c r="S217" s="808"/>
      <c r="T217" s="808"/>
      <c r="U217" s="808"/>
      <c r="V217" s="808"/>
      <c r="W217" s="808"/>
      <c r="X217" s="808"/>
      <c r="Y217" s="808"/>
      <c r="Z217" s="808"/>
      <c r="AA217" s="808"/>
      <c r="AB217" s="808"/>
      <c r="AC217" s="808"/>
      <c r="AD217" s="808"/>
      <c r="AE217" s="808"/>
      <c r="AF217" s="808"/>
      <c r="AG217" s="808"/>
      <c r="AH217" s="808"/>
      <c r="AI217" s="808"/>
      <c r="AJ217" s="808"/>
      <c r="AK217" s="808"/>
      <c r="AL217" s="808"/>
      <c r="AM217" s="808"/>
      <c r="AN217" s="808"/>
      <c r="AO217" s="808"/>
      <c r="AP217" s="808"/>
      <c r="AQ217" s="808"/>
      <c r="AR217" s="808"/>
      <c r="AS217" s="808"/>
      <c r="AT217" s="808"/>
      <c r="AU217" s="808"/>
      <c r="AV217" s="808"/>
      <c r="AW217" s="808"/>
      <c r="AX217" s="808"/>
      <c r="AY217" s="808"/>
      <c r="AZ217" s="808"/>
      <c r="BA217" s="808"/>
      <c r="BB217" s="808"/>
      <c r="BC217" s="808"/>
      <c r="BD217" s="808"/>
      <c r="BE217" s="808"/>
      <c r="BF217" s="808"/>
      <c r="BG217" s="808"/>
      <c r="BH217" s="808"/>
      <c r="BI217" s="808"/>
      <c r="BJ217" s="808"/>
      <c r="BK217" s="808"/>
      <c r="BL217" s="808"/>
      <c r="BM217" s="808"/>
      <c r="BN217" s="808"/>
      <c r="BO217" s="808"/>
      <c r="BP217" s="808"/>
      <c r="BQ217" s="808"/>
      <c r="BR217" s="808"/>
      <c r="BS217" s="808"/>
      <c r="BT217" s="808"/>
      <c r="BU217" s="808"/>
      <c r="BV217" s="808"/>
      <c r="BW217" s="808"/>
      <c r="BX217" s="808"/>
      <c r="BY217" s="808"/>
      <c r="BZ217" s="808"/>
      <c r="CA217" s="808"/>
      <c r="CB217" s="808"/>
      <c r="CC217" s="808"/>
      <c r="CD217" s="808"/>
      <c r="CE217" s="808"/>
      <c r="CF217" s="808"/>
      <c r="CG217" s="808"/>
      <c r="CH217" s="808"/>
      <c r="CI217" s="808"/>
      <c r="CJ217" s="808"/>
      <c r="CK217" s="808"/>
      <c r="CL217" s="808"/>
      <c r="CM217" s="808"/>
      <c r="CN217" s="808"/>
      <c r="CO217" s="808"/>
      <c r="CP217" s="808"/>
      <c r="CQ217" s="808"/>
      <c r="CR217" s="808"/>
      <c r="CS217" s="808"/>
      <c r="CT217" s="808"/>
      <c r="CU217" s="808"/>
      <c r="CV217" s="808"/>
      <c r="CW217" s="808"/>
      <c r="CX217" s="808"/>
      <c r="CY217" s="808"/>
      <c r="CZ217" s="808"/>
      <c r="DA217" s="808"/>
      <c r="DB217" s="808"/>
      <c r="DC217" s="808"/>
      <c r="DD217" s="808"/>
      <c r="DE217" s="808"/>
      <c r="DF217" s="808"/>
      <c r="DG217" s="808"/>
      <c r="DH217" s="808"/>
      <c r="DI217" s="808"/>
      <c r="DJ217" s="808"/>
      <c r="DK217" s="808"/>
      <c r="DL217" s="808"/>
      <c r="DM217" s="808"/>
      <c r="DN217" s="808"/>
      <c r="DO217" s="808"/>
      <c r="DP217" s="808"/>
    </row>
    <row r="218" spans="1:120">
      <c r="A218" s="821"/>
      <c r="B218" s="811" t="s">
        <v>79</v>
      </c>
      <c r="C218" s="811" t="s">
        <v>5</v>
      </c>
      <c r="D218" s="812" t="s">
        <v>1298</v>
      </c>
      <c r="E218" s="812" t="s">
        <v>1299</v>
      </c>
      <c r="F218" s="812" t="s">
        <v>1298</v>
      </c>
      <c r="G218" s="812" t="s">
        <v>1299</v>
      </c>
      <c r="H218" s="812" t="s">
        <v>1300</v>
      </c>
      <c r="K218" s="808"/>
      <c r="M218" s="808"/>
      <c r="N218" s="808"/>
      <c r="O218" s="808"/>
      <c r="P218" s="808"/>
      <c r="Q218" s="808"/>
      <c r="R218" s="808"/>
      <c r="S218" s="808"/>
      <c r="T218" s="808"/>
      <c r="U218" s="808"/>
      <c r="V218" s="808"/>
      <c r="W218" s="808"/>
      <c r="X218" s="808"/>
      <c r="Y218" s="808"/>
      <c r="Z218" s="808"/>
      <c r="AA218" s="808"/>
      <c r="AB218" s="808"/>
      <c r="AC218" s="808"/>
      <c r="AD218" s="808"/>
      <c r="AE218" s="808"/>
      <c r="AF218" s="808"/>
      <c r="AG218" s="808"/>
      <c r="AH218" s="808"/>
      <c r="AI218" s="808"/>
      <c r="AJ218" s="808"/>
      <c r="AK218" s="808"/>
      <c r="AL218" s="808"/>
      <c r="AM218" s="808"/>
      <c r="AN218" s="808"/>
      <c r="AO218" s="808"/>
      <c r="AP218" s="808"/>
      <c r="AQ218" s="808"/>
      <c r="AR218" s="808"/>
      <c r="AS218" s="808"/>
      <c r="AT218" s="808"/>
      <c r="AU218" s="808"/>
      <c r="AV218" s="808"/>
      <c r="AW218" s="808"/>
      <c r="AX218" s="808"/>
      <c r="AY218" s="808"/>
      <c r="AZ218" s="808"/>
      <c r="BA218" s="808"/>
      <c r="BB218" s="808"/>
      <c r="BC218" s="808"/>
      <c r="BD218" s="808"/>
      <c r="BE218" s="808"/>
      <c r="BF218" s="808"/>
      <c r="BG218" s="808"/>
      <c r="BH218" s="808"/>
      <c r="BI218" s="808"/>
      <c r="BJ218" s="808"/>
      <c r="BK218" s="808"/>
      <c r="BL218" s="808"/>
      <c r="BM218" s="808"/>
      <c r="BN218" s="808"/>
      <c r="BO218" s="808"/>
      <c r="BP218" s="808"/>
      <c r="BQ218" s="808"/>
      <c r="BR218" s="808"/>
      <c r="BS218" s="808"/>
      <c r="BT218" s="808"/>
      <c r="BU218" s="808"/>
      <c r="BV218" s="808"/>
      <c r="BW218" s="808"/>
      <c r="BX218" s="808"/>
      <c r="BY218" s="808"/>
      <c r="BZ218" s="808"/>
      <c r="CA218" s="808"/>
      <c r="CB218" s="808"/>
      <c r="CC218" s="808"/>
      <c r="CD218" s="808"/>
      <c r="CE218" s="808"/>
      <c r="CF218" s="808"/>
      <c r="CG218" s="808"/>
      <c r="CH218" s="808"/>
      <c r="CI218" s="808"/>
      <c r="CJ218" s="808"/>
      <c r="CK218" s="808"/>
      <c r="CL218" s="808"/>
      <c r="CM218" s="808"/>
      <c r="CN218" s="808"/>
      <c r="CO218" s="808"/>
      <c r="CP218" s="808"/>
      <c r="CQ218" s="808"/>
      <c r="CR218" s="808"/>
      <c r="CS218" s="808"/>
      <c r="CT218" s="808"/>
      <c r="CU218" s="808"/>
      <c r="CV218" s="808"/>
      <c r="CW218" s="808"/>
      <c r="CX218" s="808"/>
      <c r="CY218" s="808"/>
      <c r="CZ218" s="808"/>
      <c r="DA218" s="808"/>
      <c r="DB218" s="808"/>
      <c r="DC218" s="808"/>
      <c r="DD218" s="808"/>
      <c r="DE218" s="808"/>
      <c r="DF218" s="808"/>
      <c r="DG218" s="808"/>
      <c r="DH218" s="808"/>
      <c r="DI218" s="808"/>
      <c r="DJ218" s="808"/>
      <c r="DK218" s="808"/>
      <c r="DL218" s="808"/>
      <c r="DM218" s="808"/>
      <c r="DN218" s="808"/>
      <c r="DO218" s="808"/>
      <c r="DP218" s="808"/>
    </row>
    <row r="219" spans="1:120">
      <c r="A219" s="821"/>
      <c r="B219" s="813" t="s">
        <v>1220</v>
      </c>
      <c r="C219" s="814" t="s">
        <v>194</v>
      </c>
      <c r="D219" s="815">
        <v>7801.1</v>
      </c>
      <c r="E219" s="815">
        <v>780112.5</v>
      </c>
      <c r="F219" s="815">
        <v>0</v>
      </c>
      <c r="G219" s="815">
        <v>0</v>
      </c>
      <c r="H219" s="815">
        <v>780112.5</v>
      </c>
      <c r="K219" s="808"/>
      <c r="M219" s="808"/>
      <c r="N219" s="808"/>
      <c r="O219" s="808"/>
      <c r="P219" s="808"/>
      <c r="Q219" s="808"/>
      <c r="R219" s="808"/>
      <c r="S219" s="808"/>
      <c r="T219" s="808"/>
      <c r="U219" s="808"/>
      <c r="V219" s="808"/>
      <c r="W219" s="808"/>
      <c r="X219" s="808"/>
      <c r="Y219" s="808"/>
      <c r="Z219" s="808"/>
      <c r="AA219" s="808"/>
      <c r="AB219" s="808"/>
      <c r="AC219" s="808"/>
      <c r="AD219" s="808"/>
      <c r="AE219" s="808"/>
      <c r="AF219" s="808"/>
      <c r="AG219" s="808"/>
      <c r="AH219" s="808"/>
      <c r="AI219" s="808"/>
      <c r="AJ219" s="808"/>
      <c r="AK219" s="808"/>
      <c r="AL219" s="808"/>
      <c r="AM219" s="808"/>
      <c r="AN219" s="808"/>
      <c r="AO219" s="808"/>
      <c r="AP219" s="808"/>
      <c r="AQ219" s="808"/>
      <c r="AR219" s="808"/>
      <c r="AS219" s="808"/>
      <c r="AT219" s="808"/>
      <c r="AU219" s="808"/>
      <c r="AV219" s="808"/>
      <c r="AW219" s="808"/>
      <c r="AX219" s="808"/>
      <c r="AY219" s="808"/>
      <c r="AZ219" s="808"/>
      <c r="BA219" s="808"/>
      <c r="BB219" s="808"/>
      <c r="BC219" s="808"/>
      <c r="BD219" s="808"/>
      <c r="BE219" s="808"/>
      <c r="BF219" s="808"/>
      <c r="BG219" s="808"/>
      <c r="BH219" s="808"/>
      <c r="BI219" s="808"/>
      <c r="BJ219" s="808"/>
      <c r="BK219" s="808"/>
      <c r="BL219" s="808"/>
      <c r="BM219" s="808"/>
      <c r="BN219" s="808"/>
      <c r="BO219" s="808"/>
      <c r="BP219" s="808"/>
      <c r="BQ219" s="808"/>
      <c r="BR219" s="808"/>
      <c r="BS219" s="808"/>
      <c r="BT219" s="808"/>
      <c r="BU219" s="808"/>
      <c r="BV219" s="808"/>
      <c r="BW219" s="808"/>
      <c r="BX219" s="808"/>
      <c r="BY219" s="808"/>
      <c r="BZ219" s="808"/>
      <c r="CA219" s="808"/>
      <c r="CB219" s="808"/>
      <c r="CC219" s="808"/>
      <c r="CD219" s="808"/>
      <c r="CE219" s="808"/>
      <c r="CF219" s="808"/>
      <c r="CG219" s="808"/>
      <c r="CH219" s="808"/>
      <c r="CI219" s="808"/>
      <c r="CJ219" s="808"/>
      <c r="CK219" s="808"/>
      <c r="CL219" s="808"/>
      <c r="CM219" s="808"/>
      <c r="CN219" s="808"/>
      <c r="CO219" s="808"/>
      <c r="CP219" s="808"/>
      <c r="CQ219" s="808"/>
      <c r="CR219" s="808"/>
      <c r="CS219" s="808"/>
      <c r="CT219" s="808"/>
      <c r="CU219" s="808"/>
      <c r="CV219" s="808"/>
      <c r="CW219" s="808"/>
      <c r="CX219" s="808"/>
      <c r="CY219" s="808"/>
      <c r="CZ219" s="808"/>
      <c r="DA219" s="808"/>
      <c r="DB219" s="808"/>
      <c r="DC219" s="808"/>
      <c r="DD219" s="808"/>
      <c r="DE219" s="808"/>
      <c r="DF219" s="808"/>
      <c r="DG219" s="808"/>
      <c r="DH219" s="808"/>
      <c r="DI219" s="808"/>
      <c r="DJ219" s="808"/>
      <c r="DK219" s="808"/>
      <c r="DL219" s="808"/>
      <c r="DM219" s="808"/>
      <c r="DN219" s="808"/>
      <c r="DO219" s="808"/>
      <c r="DP219" s="808"/>
    </row>
    <row r="220" spans="1:120">
      <c r="A220" s="821"/>
      <c r="B220" s="813" t="s">
        <v>950</v>
      </c>
      <c r="C220" s="814" t="s">
        <v>206</v>
      </c>
      <c r="D220" s="815">
        <v>0</v>
      </c>
      <c r="E220" s="815">
        <v>0</v>
      </c>
      <c r="F220" s="815">
        <v>0</v>
      </c>
      <c r="G220" s="815">
        <v>0</v>
      </c>
      <c r="H220" s="815">
        <v>0</v>
      </c>
      <c r="K220" s="808"/>
      <c r="M220" s="808"/>
      <c r="N220" s="808"/>
      <c r="O220" s="808"/>
      <c r="P220" s="808"/>
      <c r="Q220" s="808"/>
      <c r="R220" s="808"/>
      <c r="S220" s="808"/>
      <c r="T220" s="808"/>
      <c r="U220" s="808"/>
      <c r="V220" s="808"/>
      <c r="W220" s="808"/>
      <c r="X220" s="808"/>
      <c r="Y220" s="808"/>
      <c r="Z220" s="808"/>
      <c r="AA220" s="808"/>
      <c r="AB220" s="808"/>
      <c r="AC220" s="808"/>
      <c r="AD220" s="808"/>
      <c r="AE220" s="808"/>
      <c r="AF220" s="808"/>
      <c r="AG220" s="808"/>
      <c r="AH220" s="808"/>
      <c r="AI220" s="808"/>
      <c r="AJ220" s="808"/>
      <c r="AK220" s="808"/>
      <c r="AL220" s="808"/>
      <c r="AM220" s="808"/>
      <c r="AN220" s="808"/>
      <c r="AO220" s="808"/>
      <c r="AP220" s="808"/>
      <c r="AQ220" s="808"/>
      <c r="AR220" s="808"/>
      <c r="AS220" s="808"/>
      <c r="AT220" s="808"/>
      <c r="AU220" s="808"/>
      <c r="AV220" s="808"/>
      <c r="AW220" s="808"/>
      <c r="AX220" s="808"/>
      <c r="AY220" s="808"/>
      <c r="AZ220" s="808"/>
      <c r="BA220" s="808"/>
      <c r="BB220" s="808"/>
      <c r="BC220" s="808"/>
      <c r="BD220" s="808"/>
      <c r="BE220" s="808"/>
      <c r="BF220" s="808"/>
      <c r="BG220" s="808"/>
      <c r="BH220" s="808"/>
      <c r="BI220" s="808"/>
      <c r="BJ220" s="808"/>
      <c r="BK220" s="808"/>
      <c r="BL220" s="808"/>
      <c r="BM220" s="808"/>
      <c r="BN220" s="808"/>
      <c r="BO220" s="808"/>
      <c r="BP220" s="808"/>
      <c r="BQ220" s="808"/>
      <c r="BR220" s="808"/>
      <c r="BS220" s="808"/>
      <c r="BT220" s="808"/>
      <c r="BU220" s="808"/>
      <c r="BV220" s="808"/>
      <c r="BW220" s="808"/>
      <c r="BX220" s="808"/>
      <c r="BY220" s="808"/>
      <c r="BZ220" s="808"/>
      <c r="CA220" s="808"/>
      <c r="CB220" s="808"/>
      <c r="CC220" s="808"/>
      <c r="CD220" s="808"/>
      <c r="CE220" s="808"/>
      <c r="CF220" s="808"/>
      <c r="CG220" s="808"/>
      <c r="CH220" s="808"/>
      <c r="CI220" s="808"/>
      <c r="CJ220" s="808"/>
      <c r="CK220" s="808"/>
      <c r="CL220" s="808"/>
      <c r="CM220" s="808"/>
      <c r="CN220" s="808"/>
      <c r="CO220" s="808"/>
      <c r="CP220" s="808"/>
      <c r="CQ220" s="808"/>
      <c r="CR220" s="808"/>
      <c r="CS220" s="808"/>
      <c r="CT220" s="808"/>
      <c r="CU220" s="808"/>
      <c r="CV220" s="808"/>
      <c r="CW220" s="808"/>
      <c r="CX220" s="808"/>
      <c r="CY220" s="808"/>
      <c r="CZ220" s="808"/>
      <c r="DA220" s="808"/>
      <c r="DB220" s="808"/>
      <c r="DC220" s="808"/>
      <c r="DD220" s="808"/>
      <c r="DE220" s="808"/>
      <c r="DF220" s="808"/>
      <c r="DG220" s="808"/>
      <c r="DH220" s="808"/>
      <c r="DI220" s="808"/>
      <c r="DJ220" s="808"/>
      <c r="DK220" s="808"/>
      <c r="DL220" s="808"/>
      <c r="DM220" s="808"/>
      <c r="DN220" s="808"/>
      <c r="DO220" s="808"/>
      <c r="DP220" s="808"/>
    </row>
    <row r="221" spans="1:120">
      <c r="A221" s="821"/>
      <c r="B221" s="813" t="s">
        <v>1273</v>
      </c>
      <c r="C221" s="814" t="s">
        <v>1207</v>
      </c>
      <c r="D221" s="815">
        <v>0</v>
      </c>
      <c r="E221" s="815">
        <v>0</v>
      </c>
      <c r="F221" s="815">
        <v>0</v>
      </c>
      <c r="G221" s="815">
        <v>0</v>
      </c>
      <c r="H221" s="815">
        <v>0</v>
      </c>
      <c r="K221" s="808"/>
      <c r="M221" s="808"/>
      <c r="N221" s="808"/>
      <c r="O221" s="808"/>
      <c r="P221" s="808"/>
      <c r="Q221" s="808"/>
      <c r="R221" s="808"/>
      <c r="S221" s="808"/>
      <c r="T221" s="808"/>
      <c r="U221" s="808"/>
      <c r="V221" s="808"/>
      <c r="W221" s="808"/>
      <c r="X221" s="808"/>
      <c r="Y221" s="808"/>
      <c r="Z221" s="808"/>
      <c r="AA221" s="808"/>
      <c r="AB221" s="808"/>
      <c r="AC221" s="808"/>
      <c r="AD221" s="808"/>
      <c r="AE221" s="808"/>
      <c r="AF221" s="808"/>
      <c r="AG221" s="808"/>
      <c r="AH221" s="808"/>
      <c r="AI221" s="808"/>
      <c r="AJ221" s="808"/>
      <c r="AK221" s="808"/>
      <c r="AL221" s="808"/>
      <c r="AM221" s="808"/>
      <c r="AN221" s="808"/>
      <c r="AO221" s="808"/>
      <c r="AP221" s="808"/>
      <c r="AQ221" s="808"/>
      <c r="AR221" s="808"/>
      <c r="AS221" s="808"/>
      <c r="AT221" s="808"/>
      <c r="AU221" s="808"/>
      <c r="AV221" s="808"/>
      <c r="AW221" s="808"/>
      <c r="AX221" s="808"/>
      <c r="AY221" s="808"/>
      <c r="AZ221" s="808"/>
      <c r="BA221" s="808"/>
      <c r="BB221" s="808"/>
      <c r="BC221" s="808"/>
      <c r="BD221" s="808"/>
      <c r="BE221" s="808"/>
      <c r="BF221" s="808"/>
      <c r="BG221" s="808"/>
      <c r="BH221" s="808"/>
      <c r="BI221" s="808"/>
      <c r="BJ221" s="808"/>
      <c r="BK221" s="808"/>
      <c r="BL221" s="808"/>
      <c r="BM221" s="808"/>
      <c r="BN221" s="808"/>
      <c r="BO221" s="808"/>
      <c r="BP221" s="808"/>
      <c r="BQ221" s="808"/>
      <c r="BR221" s="808"/>
      <c r="BS221" s="808"/>
      <c r="BT221" s="808"/>
      <c r="BU221" s="808"/>
      <c r="BV221" s="808"/>
      <c r="BW221" s="808"/>
      <c r="BX221" s="808"/>
      <c r="BY221" s="808"/>
      <c r="BZ221" s="808"/>
      <c r="CA221" s="808"/>
      <c r="CB221" s="808"/>
      <c r="CC221" s="808"/>
      <c r="CD221" s="808"/>
      <c r="CE221" s="808"/>
      <c r="CF221" s="808"/>
      <c r="CG221" s="808"/>
      <c r="CH221" s="808"/>
      <c r="CI221" s="808"/>
      <c r="CJ221" s="808"/>
      <c r="CK221" s="808"/>
      <c r="CL221" s="808"/>
      <c r="CM221" s="808"/>
      <c r="CN221" s="808"/>
      <c r="CO221" s="808"/>
      <c r="CP221" s="808"/>
      <c r="CQ221" s="808"/>
      <c r="CR221" s="808"/>
      <c r="CS221" s="808"/>
      <c r="CT221" s="808"/>
      <c r="CU221" s="808"/>
      <c r="CV221" s="808"/>
      <c r="CW221" s="808"/>
      <c r="CX221" s="808"/>
      <c r="CY221" s="808"/>
      <c r="CZ221" s="808"/>
      <c r="DA221" s="808"/>
      <c r="DB221" s="808"/>
      <c r="DC221" s="808"/>
      <c r="DD221" s="808"/>
      <c r="DE221" s="808"/>
      <c r="DF221" s="808"/>
      <c r="DG221" s="808"/>
      <c r="DH221" s="808"/>
      <c r="DI221" s="808"/>
      <c r="DJ221" s="808"/>
      <c r="DK221" s="808"/>
      <c r="DL221" s="808"/>
      <c r="DM221" s="808"/>
      <c r="DN221" s="808"/>
      <c r="DO221" s="808"/>
      <c r="DP221" s="808"/>
    </row>
    <row r="222" spans="1:120">
      <c r="A222" s="821"/>
      <c r="B222" s="813" t="s">
        <v>1278</v>
      </c>
      <c r="C222" s="814" t="s">
        <v>195</v>
      </c>
      <c r="D222" s="815">
        <v>7801.1</v>
      </c>
      <c r="E222" s="815">
        <v>780112.5</v>
      </c>
      <c r="F222" s="815">
        <v>0</v>
      </c>
      <c r="G222" s="815">
        <v>0</v>
      </c>
      <c r="H222" s="815">
        <v>780112.5</v>
      </c>
      <c r="K222" s="808"/>
      <c r="M222" s="808"/>
      <c r="N222" s="808"/>
      <c r="O222" s="808"/>
      <c r="P222" s="808"/>
      <c r="Q222" s="808"/>
      <c r="R222" s="808"/>
      <c r="S222" s="808"/>
      <c r="T222" s="808"/>
      <c r="U222" s="808"/>
      <c r="V222" s="808"/>
      <c r="W222" s="808"/>
      <c r="X222" s="808"/>
      <c r="Y222" s="808"/>
      <c r="Z222" s="808"/>
      <c r="AA222" s="808"/>
      <c r="AB222" s="808"/>
      <c r="AC222" s="808"/>
      <c r="AD222" s="808"/>
      <c r="AE222" s="808"/>
      <c r="AF222" s="808"/>
      <c r="AG222" s="808"/>
      <c r="AH222" s="808"/>
      <c r="AI222" s="808"/>
      <c r="AJ222" s="808"/>
      <c r="AK222" s="808"/>
      <c r="AL222" s="808"/>
      <c r="AM222" s="808"/>
      <c r="AN222" s="808"/>
      <c r="AO222" s="808"/>
      <c r="AP222" s="808"/>
      <c r="AQ222" s="808"/>
      <c r="AR222" s="808"/>
      <c r="AS222" s="808"/>
      <c r="AT222" s="808"/>
      <c r="AU222" s="808"/>
      <c r="AV222" s="808"/>
      <c r="AW222" s="808"/>
      <c r="AX222" s="808"/>
      <c r="AY222" s="808"/>
      <c r="AZ222" s="808"/>
      <c r="BA222" s="808"/>
      <c r="BB222" s="808"/>
      <c r="BC222" s="808"/>
      <c r="BD222" s="808"/>
      <c r="BE222" s="808"/>
      <c r="BF222" s="808"/>
      <c r="BG222" s="808"/>
      <c r="BH222" s="808"/>
      <c r="BI222" s="808"/>
      <c r="BJ222" s="808"/>
      <c r="BK222" s="808"/>
      <c r="BL222" s="808"/>
      <c r="BM222" s="808"/>
      <c r="BN222" s="808"/>
      <c r="BO222" s="808"/>
      <c r="BP222" s="808"/>
      <c r="BQ222" s="808"/>
      <c r="BR222" s="808"/>
      <c r="BS222" s="808"/>
      <c r="BT222" s="808"/>
      <c r="BU222" s="808"/>
      <c r="BV222" s="808"/>
      <c r="BW222" s="808"/>
      <c r="BX222" s="808"/>
      <c r="BY222" s="808"/>
      <c r="BZ222" s="808"/>
      <c r="CA222" s="808"/>
      <c r="CB222" s="808"/>
      <c r="CC222" s="808"/>
      <c r="CD222" s="808"/>
      <c r="CE222" s="808"/>
      <c r="CF222" s="808"/>
      <c r="CG222" s="808"/>
      <c r="CH222" s="808"/>
      <c r="CI222" s="808"/>
      <c r="CJ222" s="808"/>
      <c r="CK222" s="808"/>
      <c r="CL222" s="808"/>
      <c r="CM222" s="808"/>
      <c r="CN222" s="808"/>
      <c r="CO222" s="808"/>
      <c r="CP222" s="808"/>
      <c r="CQ222" s="808"/>
      <c r="CR222" s="808"/>
      <c r="CS222" s="808"/>
      <c r="CT222" s="808"/>
      <c r="CU222" s="808"/>
      <c r="CV222" s="808"/>
      <c r="CW222" s="808"/>
      <c r="CX222" s="808"/>
      <c r="CY222" s="808"/>
      <c r="CZ222" s="808"/>
      <c r="DA222" s="808"/>
      <c r="DB222" s="808"/>
      <c r="DC222" s="808"/>
      <c r="DD222" s="808"/>
      <c r="DE222" s="808"/>
      <c r="DF222" s="808"/>
      <c r="DG222" s="808"/>
      <c r="DH222" s="808"/>
      <c r="DI222" s="808"/>
      <c r="DJ222" s="808"/>
      <c r="DK222" s="808"/>
      <c r="DL222" s="808"/>
      <c r="DM222" s="808"/>
      <c r="DN222" s="808"/>
      <c r="DO222" s="808"/>
      <c r="DP222" s="808"/>
    </row>
    <row r="223" spans="1:120">
      <c r="A223" s="821" t="s">
        <v>1201</v>
      </c>
      <c r="B223" s="807" t="s">
        <v>1201</v>
      </c>
      <c r="C223" s="808" t="s">
        <v>1201</v>
      </c>
      <c r="D223" s="214" t="s">
        <v>1201</v>
      </c>
      <c r="K223" s="808"/>
      <c r="M223" s="808"/>
      <c r="N223" s="808"/>
      <c r="O223" s="808"/>
      <c r="P223" s="808"/>
      <c r="Q223" s="808"/>
      <c r="R223" s="808"/>
      <c r="S223" s="808"/>
      <c r="T223" s="808"/>
      <c r="U223" s="808"/>
      <c r="V223" s="808"/>
      <c r="W223" s="808"/>
      <c r="X223" s="808"/>
      <c r="Y223" s="808"/>
      <c r="Z223" s="808"/>
      <c r="AA223" s="808"/>
      <c r="AB223" s="808"/>
      <c r="AC223" s="808"/>
      <c r="AD223" s="808"/>
      <c r="AE223" s="808"/>
      <c r="AF223" s="808"/>
      <c r="AG223" s="808"/>
      <c r="AH223" s="808"/>
      <c r="AI223" s="808"/>
      <c r="AJ223" s="808"/>
      <c r="AK223" s="808"/>
      <c r="AL223" s="808"/>
      <c r="AM223" s="808"/>
      <c r="AN223" s="808"/>
      <c r="AO223" s="808"/>
      <c r="AP223" s="808"/>
      <c r="AQ223" s="808"/>
      <c r="AR223" s="808"/>
      <c r="AS223" s="808"/>
      <c r="AT223" s="808"/>
      <c r="AU223" s="808"/>
      <c r="AV223" s="808"/>
      <c r="AW223" s="808"/>
      <c r="AX223" s="808"/>
      <c r="AY223" s="808"/>
      <c r="AZ223" s="808"/>
      <c r="BA223" s="808"/>
      <c r="BB223" s="808"/>
      <c r="BC223" s="808"/>
      <c r="BD223" s="808"/>
      <c r="BE223" s="808"/>
      <c r="BF223" s="808"/>
      <c r="BG223" s="808"/>
      <c r="BH223" s="808"/>
      <c r="BI223" s="808"/>
      <c r="BJ223" s="808"/>
      <c r="BK223" s="808"/>
      <c r="BL223" s="808"/>
      <c r="BM223" s="808"/>
      <c r="BN223" s="808"/>
      <c r="BO223" s="808"/>
      <c r="BP223" s="984"/>
      <c r="BQ223" s="984"/>
      <c r="BR223" s="984"/>
      <c r="BS223" s="984"/>
      <c r="BT223" s="984"/>
      <c r="BU223" s="984"/>
      <c r="BV223" s="984"/>
      <c r="BW223" s="984"/>
      <c r="BX223" s="984"/>
      <c r="BY223" s="984"/>
      <c r="BZ223" s="984"/>
      <c r="CA223" s="984"/>
      <c r="CB223" s="984"/>
      <c r="CC223" s="984"/>
      <c r="CD223" s="984"/>
      <c r="CE223" s="984"/>
      <c r="CF223" s="984"/>
      <c r="CG223" s="984"/>
      <c r="CH223" s="984"/>
      <c r="CI223" s="984"/>
      <c r="CJ223" s="984"/>
      <c r="CK223" s="984"/>
      <c r="CL223" s="984"/>
      <c r="CM223" s="984"/>
      <c r="CN223" s="984"/>
      <c r="CO223" s="984"/>
      <c r="CP223" s="984"/>
      <c r="CQ223" s="984"/>
      <c r="CR223" s="984"/>
      <c r="CS223" s="984"/>
      <c r="CT223" s="984"/>
      <c r="CU223" s="984"/>
      <c r="CV223" s="984"/>
      <c r="CW223" s="984"/>
      <c r="CX223" s="984"/>
      <c r="CY223" s="984"/>
      <c r="CZ223" s="984"/>
      <c r="DA223" s="984"/>
      <c r="DB223" s="984"/>
      <c r="DC223" s="984"/>
      <c r="DD223" s="984"/>
      <c r="DE223" s="984"/>
      <c r="DF223" s="984"/>
      <c r="DG223" s="984"/>
      <c r="DH223" s="984"/>
      <c r="DI223" s="984"/>
      <c r="DJ223" s="984"/>
      <c r="DK223" s="984"/>
      <c r="DL223" s="984"/>
      <c r="DM223" s="984"/>
      <c r="DN223" s="984"/>
      <c r="DO223" s="984"/>
      <c r="DP223" s="984"/>
    </row>
    <row r="224" spans="1:120">
      <c r="A224" s="821"/>
      <c r="B224" s="809"/>
      <c r="C224" s="809" t="s">
        <v>1301</v>
      </c>
      <c r="K224" s="808"/>
      <c r="M224" s="808"/>
      <c r="N224" s="808"/>
      <c r="O224" s="808"/>
      <c r="P224" s="808"/>
      <c r="Q224" s="808"/>
      <c r="R224" s="808"/>
      <c r="S224" s="808"/>
      <c r="T224" s="808"/>
      <c r="U224" s="808"/>
      <c r="V224" s="808"/>
      <c r="W224" s="808"/>
      <c r="X224" s="808"/>
      <c r="Y224" s="808"/>
      <c r="Z224" s="808"/>
      <c r="AA224" s="808"/>
      <c r="AB224" s="808"/>
      <c r="AC224" s="808"/>
      <c r="AD224" s="808"/>
      <c r="AE224" s="808"/>
      <c r="AF224" s="808"/>
      <c r="AG224" s="808"/>
      <c r="AH224" s="808"/>
      <c r="AI224" s="808"/>
      <c r="AJ224" s="808"/>
      <c r="AK224" s="808"/>
      <c r="AL224" s="808"/>
      <c r="AM224" s="808"/>
      <c r="AN224" s="808"/>
      <c r="AO224" s="808"/>
      <c r="AP224" s="808"/>
      <c r="AQ224" s="808"/>
      <c r="AR224" s="808"/>
      <c r="AS224" s="808"/>
      <c r="AT224" s="808"/>
      <c r="AU224" s="808"/>
      <c r="AV224" s="808"/>
      <c r="AW224" s="808"/>
      <c r="AX224" s="808"/>
      <c r="AY224" s="808"/>
      <c r="AZ224" s="808"/>
      <c r="BA224" s="808"/>
      <c r="BB224" s="808"/>
      <c r="BC224" s="808"/>
      <c r="BD224" s="808"/>
      <c r="BE224" s="808"/>
      <c r="BF224" s="808"/>
      <c r="BG224" s="808"/>
      <c r="BH224" s="808"/>
      <c r="BI224" s="808"/>
      <c r="BJ224" s="808"/>
      <c r="BK224" s="808"/>
      <c r="BL224" s="808"/>
      <c r="BM224" s="808"/>
      <c r="BN224" s="808"/>
      <c r="BO224" s="808"/>
      <c r="BP224" s="808"/>
      <c r="BQ224" s="808"/>
      <c r="BR224" s="808"/>
      <c r="BS224" s="808"/>
      <c r="BT224" s="808"/>
      <c r="BU224" s="808"/>
      <c r="BV224" s="808"/>
      <c r="BW224" s="808"/>
      <c r="BX224" s="808"/>
      <c r="BY224" s="808"/>
      <c r="BZ224" s="808"/>
      <c r="CA224" s="808"/>
      <c r="CB224" s="808"/>
      <c r="CC224" s="808"/>
      <c r="CD224" s="808"/>
      <c r="CE224" s="808"/>
      <c r="CF224" s="808"/>
      <c r="CG224" s="808"/>
      <c r="CH224" s="808"/>
      <c r="CI224" s="808"/>
      <c r="CJ224" s="808"/>
      <c r="CK224" s="808"/>
      <c r="CL224" s="808"/>
      <c r="CM224" s="808"/>
      <c r="CN224" s="808"/>
      <c r="CO224" s="808"/>
      <c r="CP224" s="808"/>
      <c r="CQ224" s="808"/>
      <c r="CR224" s="808"/>
      <c r="CS224" s="808"/>
      <c r="CT224" s="808"/>
      <c r="CU224" s="808"/>
      <c r="CV224" s="808"/>
      <c r="CW224" s="808"/>
      <c r="CX224" s="808"/>
      <c r="CY224" s="808"/>
      <c r="CZ224" s="808"/>
      <c r="DA224" s="808"/>
      <c r="DB224" s="808"/>
      <c r="DC224" s="808"/>
      <c r="DD224" s="808"/>
      <c r="DE224" s="808"/>
      <c r="DF224" s="808"/>
      <c r="DG224" s="808"/>
      <c r="DH224" s="808"/>
      <c r="DI224" s="808"/>
      <c r="DJ224" s="808"/>
      <c r="DK224" s="808"/>
      <c r="DL224" s="808"/>
      <c r="DM224" s="808"/>
      <c r="DN224" s="808"/>
      <c r="DO224" s="808"/>
      <c r="DP224" s="808"/>
    </row>
    <row r="225" spans="1:120">
      <c r="A225" s="821"/>
      <c r="B225" s="807"/>
      <c r="C225" s="808"/>
      <c r="F225" s="810" t="s">
        <v>1203</v>
      </c>
      <c r="K225" s="808"/>
      <c r="M225" s="808"/>
      <c r="N225" s="808"/>
      <c r="O225" s="808"/>
      <c r="P225" s="808"/>
      <c r="Q225" s="808"/>
      <c r="R225" s="808"/>
      <c r="S225" s="808"/>
      <c r="T225" s="808"/>
      <c r="U225" s="808"/>
      <c r="V225" s="808"/>
      <c r="W225" s="808"/>
      <c r="X225" s="808"/>
      <c r="Y225" s="808"/>
      <c r="Z225" s="808"/>
      <c r="AA225" s="808"/>
      <c r="AB225" s="808"/>
      <c r="AC225" s="808"/>
      <c r="AD225" s="808"/>
      <c r="AE225" s="808"/>
      <c r="AF225" s="808"/>
      <c r="AG225" s="808"/>
      <c r="AH225" s="808"/>
      <c r="AI225" s="808"/>
      <c r="AJ225" s="808"/>
      <c r="AK225" s="808"/>
      <c r="AL225" s="808"/>
      <c r="AM225" s="808"/>
      <c r="AN225" s="808"/>
      <c r="AO225" s="808"/>
      <c r="AP225" s="808"/>
      <c r="AQ225" s="808"/>
      <c r="AR225" s="808"/>
      <c r="AS225" s="808"/>
      <c r="AT225" s="808"/>
      <c r="AU225" s="808"/>
      <c r="AV225" s="808"/>
      <c r="AW225" s="808"/>
      <c r="AX225" s="808"/>
      <c r="AY225" s="808"/>
      <c r="AZ225" s="808"/>
      <c r="BA225" s="808"/>
      <c r="BB225" s="808"/>
      <c r="BC225" s="808"/>
      <c r="BD225" s="808"/>
      <c r="BE225" s="808"/>
      <c r="BF225" s="808"/>
      <c r="BG225" s="808"/>
      <c r="BH225" s="808"/>
      <c r="BI225" s="808"/>
      <c r="BJ225" s="808"/>
      <c r="BK225" s="808"/>
      <c r="BL225" s="808"/>
      <c r="BM225" s="808"/>
      <c r="BN225" s="808"/>
      <c r="BO225" s="808"/>
      <c r="BP225" s="808"/>
      <c r="BQ225" s="808"/>
      <c r="BR225" s="808"/>
      <c r="BS225" s="808"/>
      <c r="BT225" s="808"/>
      <c r="BU225" s="808"/>
      <c r="BV225" s="808"/>
      <c r="BW225" s="808"/>
      <c r="BX225" s="808"/>
      <c r="BY225" s="808"/>
      <c r="BZ225" s="808"/>
      <c r="CA225" s="808"/>
      <c r="CB225" s="808"/>
      <c r="CC225" s="808"/>
      <c r="CD225" s="808"/>
      <c r="CE225" s="808"/>
      <c r="CF225" s="808"/>
      <c r="CG225" s="808"/>
      <c r="CH225" s="808"/>
      <c r="CI225" s="808"/>
      <c r="CJ225" s="808"/>
      <c r="CK225" s="808"/>
      <c r="CL225" s="808"/>
      <c r="CM225" s="808"/>
      <c r="CN225" s="808"/>
      <c r="CO225" s="808"/>
      <c r="CP225" s="808"/>
      <c r="CQ225" s="808"/>
      <c r="CR225" s="808"/>
      <c r="CS225" s="808"/>
      <c r="CT225" s="808"/>
      <c r="CU225" s="808"/>
      <c r="CV225" s="808"/>
      <c r="CW225" s="808"/>
      <c r="CX225" s="808"/>
      <c r="CY225" s="808"/>
      <c r="CZ225" s="808"/>
      <c r="DA225" s="808"/>
      <c r="DB225" s="808"/>
      <c r="DC225" s="808"/>
      <c r="DD225" s="808"/>
      <c r="DE225" s="808"/>
      <c r="DF225" s="808"/>
      <c r="DG225" s="808"/>
      <c r="DH225" s="808"/>
      <c r="DI225" s="808"/>
      <c r="DJ225" s="808"/>
      <c r="DK225" s="808"/>
      <c r="DL225" s="808"/>
      <c r="DM225" s="808"/>
      <c r="DN225" s="808"/>
      <c r="DO225" s="808"/>
      <c r="DP225" s="808"/>
    </row>
    <row r="226" spans="1:120" ht="39.6">
      <c r="A226" s="821"/>
      <c r="B226" s="811" t="s">
        <v>79</v>
      </c>
      <c r="C226" s="811" t="s">
        <v>5</v>
      </c>
      <c r="D226" s="812" t="s">
        <v>349</v>
      </c>
      <c r="E226" s="812" t="s">
        <v>1302</v>
      </c>
      <c r="F226" s="812" t="s">
        <v>82</v>
      </c>
      <c r="K226" s="808"/>
      <c r="M226" s="808"/>
      <c r="N226" s="808"/>
      <c r="O226" s="808"/>
      <c r="P226" s="808"/>
      <c r="Q226" s="808"/>
      <c r="R226" s="808"/>
      <c r="S226" s="808"/>
      <c r="T226" s="808"/>
      <c r="U226" s="808"/>
      <c r="V226" s="808"/>
      <c r="W226" s="808"/>
      <c r="X226" s="808"/>
      <c r="Y226" s="808"/>
      <c r="Z226" s="808"/>
      <c r="AA226" s="808"/>
      <c r="AB226" s="808"/>
      <c r="AC226" s="808"/>
      <c r="AD226" s="808"/>
      <c r="AE226" s="808"/>
      <c r="AF226" s="808"/>
      <c r="AG226" s="808"/>
      <c r="AH226" s="808"/>
      <c r="AI226" s="808"/>
      <c r="AJ226" s="808"/>
      <c r="AK226" s="808"/>
      <c r="AL226" s="808"/>
      <c r="AM226" s="808"/>
      <c r="AN226" s="808"/>
      <c r="AO226" s="808"/>
      <c r="AP226" s="808"/>
      <c r="AQ226" s="808"/>
      <c r="AR226" s="808"/>
      <c r="AS226" s="808"/>
      <c r="AT226" s="808"/>
      <c r="AU226" s="808"/>
      <c r="AV226" s="808"/>
      <c r="AW226" s="808"/>
      <c r="AX226" s="808"/>
      <c r="AY226" s="808"/>
      <c r="AZ226" s="808"/>
      <c r="BA226" s="808"/>
      <c r="BB226" s="808"/>
      <c r="BC226" s="808"/>
      <c r="BD226" s="808"/>
      <c r="BE226" s="808"/>
      <c r="BF226" s="808"/>
      <c r="BG226" s="808"/>
      <c r="BH226" s="808"/>
      <c r="BI226" s="808"/>
      <c r="BJ226" s="808"/>
      <c r="BK226" s="808"/>
      <c r="BL226" s="808"/>
      <c r="BM226" s="808"/>
      <c r="BN226" s="808"/>
      <c r="BO226" s="808"/>
      <c r="BP226" s="808"/>
      <c r="BQ226" s="808"/>
      <c r="BR226" s="808"/>
      <c r="BS226" s="808"/>
      <c r="BT226" s="808"/>
      <c r="BU226" s="808"/>
      <c r="BV226" s="808"/>
      <c r="BW226" s="808"/>
      <c r="BX226" s="808"/>
      <c r="BY226" s="808"/>
      <c r="BZ226" s="808"/>
      <c r="CA226" s="808"/>
      <c r="CB226" s="808"/>
      <c r="CC226" s="808"/>
      <c r="CD226" s="808"/>
      <c r="CE226" s="808"/>
      <c r="CF226" s="808"/>
      <c r="CG226" s="808"/>
      <c r="CH226" s="808"/>
      <c r="CI226" s="808"/>
      <c r="CJ226" s="808"/>
      <c r="CK226" s="808"/>
      <c r="CL226" s="808"/>
      <c r="CM226" s="808"/>
      <c r="CN226" s="808"/>
      <c r="CO226" s="808"/>
      <c r="CP226" s="808"/>
      <c r="CQ226" s="808"/>
      <c r="CR226" s="808"/>
      <c r="CS226" s="808"/>
      <c r="CT226" s="808"/>
      <c r="CU226" s="808"/>
      <c r="CV226" s="808"/>
      <c r="CW226" s="808"/>
      <c r="CX226" s="808"/>
      <c r="CY226" s="808"/>
      <c r="CZ226" s="808"/>
      <c r="DA226" s="808"/>
      <c r="DB226" s="808"/>
      <c r="DC226" s="808"/>
      <c r="DD226" s="808"/>
      <c r="DE226" s="808"/>
      <c r="DF226" s="808"/>
      <c r="DG226" s="808"/>
      <c r="DH226" s="808"/>
      <c r="DI226" s="808"/>
      <c r="DJ226" s="808"/>
      <c r="DK226" s="808"/>
      <c r="DL226" s="808"/>
      <c r="DM226" s="808"/>
      <c r="DN226" s="808"/>
      <c r="DO226" s="808"/>
      <c r="DP226" s="808"/>
    </row>
    <row r="227" spans="1:120">
      <c r="A227" s="821"/>
      <c r="B227" s="813" t="s">
        <v>947</v>
      </c>
      <c r="C227" s="814" t="s">
        <v>194</v>
      </c>
      <c r="D227" s="815">
        <v>14849519.300000001</v>
      </c>
      <c r="E227" s="815">
        <v>0</v>
      </c>
      <c r="F227" s="815">
        <v>14849519.300000001</v>
      </c>
      <c r="K227" s="808"/>
      <c r="M227" s="808"/>
      <c r="N227" s="808"/>
      <c r="O227" s="808"/>
      <c r="P227" s="808"/>
      <c r="Q227" s="808"/>
      <c r="R227" s="808"/>
      <c r="S227" s="808"/>
      <c r="T227" s="808"/>
      <c r="U227" s="808"/>
      <c r="V227" s="808"/>
      <c r="W227" s="808"/>
      <c r="X227" s="808"/>
      <c r="Y227" s="808"/>
      <c r="Z227" s="808"/>
      <c r="AA227" s="808"/>
      <c r="AB227" s="808"/>
      <c r="AC227" s="808"/>
      <c r="AD227" s="808"/>
      <c r="AE227" s="808"/>
      <c r="AF227" s="808"/>
      <c r="AG227" s="808"/>
      <c r="AH227" s="808"/>
      <c r="AI227" s="808"/>
      <c r="AJ227" s="808"/>
      <c r="AK227" s="808"/>
      <c r="AL227" s="808"/>
      <c r="AM227" s="808"/>
      <c r="AN227" s="808"/>
      <c r="AO227" s="808"/>
      <c r="AP227" s="808"/>
      <c r="AQ227" s="808"/>
      <c r="AR227" s="808"/>
      <c r="AS227" s="808"/>
      <c r="AT227" s="808"/>
      <c r="AU227" s="808"/>
      <c r="AV227" s="808"/>
      <c r="AW227" s="808"/>
      <c r="AX227" s="808"/>
      <c r="AY227" s="808"/>
      <c r="AZ227" s="808"/>
      <c r="BA227" s="808"/>
      <c r="BB227" s="808"/>
      <c r="BC227" s="808"/>
      <c r="BD227" s="808"/>
      <c r="BE227" s="808"/>
      <c r="BF227" s="808"/>
      <c r="BG227" s="808"/>
      <c r="BH227" s="808"/>
      <c r="BI227" s="808"/>
      <c r="BJ227" s="808"/>
      <c r="BK227" s="808"/>
      <c r="BL227" s="808"/>
      <c r="BM227" s="808"/>
      <c r="BN227" s="808"/>
      <c r="BO227" s="808"/>
      <c r="BP227" s="808"/>
      <c r="BQ227" s="808"/>
      <c r="BR227" s="808"/>
      <c r="BS227" s="808"/>
      <c r="BT227" s="808"/>
      <c r="BU227" s="808"/>
      <c r="BV227" s="808"/>
      <c r="BW227" s="808"/>
      <c r="BX227" s="808"/>
      <c r="BY227" s="808"/>
      <c r="BZ227" s="808"/>
      <c r="CA227" s="808"/>
      <c r="CB227" s="808"/>
      <c r="CC227" s="808"/>
      <c r="CD227" s="808"/>
      <c r="CE227" s="808"/>
      <c r="CF227" s="808"/>
      <c r="CG227" s="808"/>
      <c r="CH227" s="808"/>
      <c r="CI227" s="808"/>
      <c r="CJ227" s="808"/>
      <c r="CK227" s="808"/>
      <c r="CL227" s="808"/>
      <c r="CM227" s="808"/>
      <c r="CN227" s="808"/>
      <c r="CO227" s="808"/>
      <c r="CP227" s="808"/>
      <c r="CQ227" s="808"/>
      <c r="CR227" s="808"/>
      <c r="CS227" s="808"/>
      <c r="CT227" s="808"/>
      <c r="CU227" s="808"/>
      <c r="CV227" s="808"/>
      <c r="CW227" s="808"/>
      <c r="CX227" s="808"/>
      <c r="CY227" s="808"/>
      <c r="CZ227" s="808"/>
      <c r="DA227" s="808"/>
      <c r="DB227" s="808"/>
      <c r="DC227" s="808"/>
      <c r="DD227" s="808"/>
      <c r="DE227" s="808"/>
      <c r="DF227" s="808"/>
      <c r="DG227" s="808"/>
      <c r="DH227" s="808"/>
      <c r="DI227" s="808"/>
      <c r="DJ227" s="808"/>
      <c r="DK227" s="808"/>
      <c r="DL227" s="808"/>
      <c r="DM227" s="808"/>
      <c r="DN227" s="808"/>
      <c r="DO227" s="808"/>
      <c r="DP227" s="808"/>
    </row>
    <row r="228" spans="1:120">
      <c r="A228" s="821"/>
      <c r="B228" s="813" t="s">
        <v>950</v>
      </c>
      <c r="C228" s="814" t="s">
        <v>233</v>
      </c>
      <c r="D228" s="815">
        <v>0</v>
      </c>
      <c r="E228" s="815">
        <v>0</v>
      </c>
      <c r="F228" s="815">
        <v>0</v>
      </c>
      <c r="K228" s="808"/>
      <c r="M228" s="808"/>
      <c r="N228" s="808"/>
      <c r="O228" s="808"/>
      <c r="P228" s="808"/>
      <c r="Q228" s="808"/>
      <c r="R228" s="808"/>
      <c r="S228" s="808"/>
      <c r="T228" s="808"/>
      <c r="U228" s="808"/>
      <c r="V228" s="808"/>
      <c r="W228" s="808"/>
      <c r="X228" s="808"/>
      <c r="Y228" s="808"/>
      <c r="Z228" s="808"/>
      <c r="AA228" s="808"/>
      <c r="AB228" s="808"/>
      <c r="AC228" s="808"/>
      <c r="AD228" s="808"/>
      <c r="AE228" s="808"/>
      <c r="AF228" s="808"/>
      <c r="AG228" s="808"/>
      <c r="AH228" s="808"/>
      <c r="AI228" s="808"/>
      <c r="AJ228" s="808"/>
      <c r="AK228" s="808"/>
      <c r="AL228" s="808"/>
      <c r="AM228" s="808"/>
      <c r="AN228" s="808"/>
      <c r="AO228" s="808"/>
      <c r="AP228" s="808"/>
      <c r="AQ228" s="808"/>
      <c r="AR228" s="808"/>
      <c r="AS228" s="808"/>
      <c r="AT228" s="808"/>
      <c r="AU228" s="808"/>
      <c r="AV228" s="808"/>
      <c r="AW228" s="808"/>
      <c r="AX228" s="808"/>
      <c r="AY228" s="808"/>
      <c r="AZ228" s="808"/>
      <c r="BA228" s="808"/>
      <c r="BB228" s="808"/>
      <c r="BC228" s="808"/>
      <c r="BD228" s="808"/>
      <c r="BE228" s="808"/>
      <c r="BF228" s="808"/>
      <c r="BG228" s="808"/>
      <c r="BH228" s="808"/>
      <c r="BI228" s="808"/>
      <c r="BJ228" s="808"/>
      <c r="BK228" s="808"/>
      <c r="BL228" s="808"/>
      <c r="BM228" s="808"/>
      <c r="BN228" s="808"/>
      <c r="BO228" s="808"/>
      <c r="BP228" s="808"/>
      <c r="BQ228" s="808"/>
      <c r="BR228" s="808"/>
      <c r="BS228" s="808"/>
      <c r="BT228" s="808"/>
      <c r="BU228" s="808"/>
      <c r="BV228" s="808"/>
      <c r="BW228" s="808"/>
      <c r="BX228" s="808"/>
      <c r="BY228" s="808"/>
      <c r="BZ228" s="808"/>
      <c r="CA228" s="808"/>
      <c r="CB228" s="808"/>
      <c r="CC228" s="808"/>
      <c r="CD228" s="808"/>
      <c r="CE228" s="808"/>
      <c r="CF228" s="808"/>
      <c r="CG228" s="808"/>
      <c r="CH228" s="808"/>
      <c r="CI228" s="808"/>
      <c r="CJ228" s="808"/>
      <c r="CK228" s="808"/>
      <c r="CL228" s="808"/>
      <c r="CM228" s="808"/>
      <c r="CN228" s="808"/>
      <c r="CO228" s="808"/>
      <c r="CP228" s="808"/>
      <c r="CQ228" s="808"/>
      <c r="CR228" s="808"/>
      <c r="CS228" s="808"/>
      <c r="CT228" s="808"/>
      <c r="CU228" s="808"/>
      <c r="CV228" s="808"/>
      <c r="CW228" s="808"/>
      <c r="CX228" s="808"/>
      <c r="CY228" s="808"/>
      <c r="CZ228" s="808"/>
      <c r="DA228" s="808"/>
      <c r="DB228" s="808"/>
      <c r="DC228" s="808"/>
      <c r="DD228" s="808"/>
      <c r="DE228" s="808"/>
      <c r="DF228" s="808"/>
      <c r="DG228" s="808"/>
      <c r="DH228" s="808"/>
      <c r="DI228" s="808"/>
      <c r="DJ228" s="808"/>
      <c r="DK228" s="808"/>
      <c r="DL228" s="808"/>
      <c r="DM228" s="808"/>
      <c r="DN228" s="808"/>
      <c r="DO228" s="808"/>
      <c r="DP228" s="808"/>
    </row>
    <row r="229" spans="1:120">
      <c r="A229" s="821"/>
      <c r="B229" s="813" t="s">
        <v>1294</v>
      </c>
      <c r="C229" s="814" t="s">
        <v>1303</v>
      </c>
      <c r="D229" s="815">
        <v>0</v>
      </c>
      <c r="E229" s="815">
        <v>0</v>
      </c>
      <c r="F229" s="815">
        <v>0</v>
      </c>
      <c r="K229" s="808"/>
      <c r="M229" s="808"/>
      <c r="N229" s="808"/>
      <c r="O229" s="808"/>
      <c r="P229" s="808"/>
      <c r="Q229" s="808"/>
      <c r="R229" s="808"/>
      <c r="S229" s="808"/>
      <c r="T229" s="808"/>
      <c r="U229" s="808"/>
      <c r="V229" s="808"/>
      <c r="W229" s="808"/>
      <c r="X229" s="808"/>
      <c r="Y229" s="808"/>
      <c r="Z229" s="808"/>
      <c r="AA229" s="808"/>
      <c r="AB229" s="808"/>
      <c r="AC229" s="808"/>
      <c r="AD229" s="808"/>
      <c r="AE229" s="808"/>
      <c r="AF229" s="808"/>
      <c r="AG229" s="808"/>
      <c r="AH229" s="808"/>
      <c r="AI229" s="808"/>
      <c r="AJ229" s="808"/>
      <c r="AK229" s="808"/>
      <c r="AL229" s="808"/>
      <c r="AM229" s="808"/>
      <c r="AN229" s="808"/>
      <c r="AO229" s="808"/>
      <c r="AP229" s="808"/>
      <c r="AQ229" s="808"/>
      <c r="AR229" s="808"/>
      <c r="AS229" s="808"/>
      <c r="AT229" s="808"/>
      <c r="AU229" s="808"/>
      <c r="AV229" s="808"/>
      <c r="AW229" s="808"/>
      <c r="AX229" s="808"/>
      <c r="AY229" s="808"/>
      <c r="AZ229" s="808"/>
      <c r="BA229" s="808"/>
      <c r="BB229" s="808"/>
      <c r="BC229" s="808"/>
      <c r="BD229" s="808"/>
      <c r="BE229" s="808"/>
      <c r="BF229" s="808"/>
      <c r="BG229" s="808"/>
      <c r="BH229" s="808"/>
      <c r="BI229" s="808"/>
      <c r="BJ229" s="808"/>
      <c r="BK229" s="808"/>
      <c r="BL229" s="808"/>
      <c r="BM229" s="808"/>
      <c r="BN229" s="808"/>
      <c r="BO229" s="808"/>
      <c r="BP229" s="808"/>
      <c r="BQ229" s="808"/>
      <c r="BR229" s="808"/>
      <c r="BS229" s="808"/>
      <c r="BT229" s="808"/>
      <c r="BU229" s="808"/>
      <c r="BV229" s="808"/>
      <c r="BW229" s="808"/>
      <c r="BX229" s="808"/>
      <c r="BY229" s="808"/>
      <c r="BZ229" s="808"/>
      <c r="CA229" s="808"/>
      <c r="CB229" s="808"/>
      <c r="CC229" s="808"/>
      <c r="CD229" s="808"/>
      <c r="CE229" s="808"/>
      <c r="CF229" s="808"/>
      <c r="CG229" s="808"/>
      <c r="CH229" s="808"/>
      <c r="CI229" s="808"/>
      <c r="CJ229" s="808"/>
      <c r="CK229" s="808"/>
      <c r="CL229" s="808"/>
      <c r="CM229" s="808"/>
      <c r="CN229" s="808"/>
      <c r="CO229" s="808"/>
      <c r="CP229" s="808"/>
      <c r="CQ229" s="808"/>
      <c r="CR229" s="808"/>
      <c r="CS229" s="808"/>
      <c r="CT229" s="808"/>
      <c r="CU229" s="808"/>
      <c r="CV229" s="808"/>
      <c r="CW229" s="808"/>
      <c r="CX229" s="808"/>
      <c r="CY229" s="808"/>
      <c r="CZ229" s="808"/>
      <c r="DA229" s="808"/>
      <c r="DB229" s="808"/>
      <c r="DC229" s="808"/>
      <c r="DD229" s="808"/>
      <c r="DE229" s="808"/>
      <c r="DF229" s="808"/>
      <c r="DG229" s="808"/>
      <c r="DH229" s="808"/>
      <c r="DI229" s="808"/>
      <c r="DJ229" s="808"/>
      <c r="DK229" s="808"/>
      <c r="DL229" s="808"/>
      <c r="DM229" s="808"/>
      <c r="DN229" s="808"/>
      <c r="DO229" s="808"/>
      <c r="DP229" s="808"/>
    </row>
    <row r="230" spans="1:120" ht="26.4">
      <c r="A230" s="821"/>
      <c r="B230" s="813" t="s">
        <v>1296</v>
      </c>
      <c r="C230" s="814" t="s">
        <v>1304</v>
      </c>
      <c r="D230" s="815">
        <v>0</v>
      </c>
      <c r="E230" s="815">
        <v>0</v>
      </c>
      <c r="F230" s="815">
        <v>0</v>
      </c>
      <c r="K230" s="808"/>
      <c r="M230" s="808"/>
      <c r="N230" s="808"/>
      <c r="O230" s="808"/>
      <c r="P230" s="808"/>
      <c r="Q230" s="808"/>
      <c r="R230" s="808"/>
      <c r="S230" s="808"/>
      <c r="T230" s="808"/>
      <c r="U230" s="808"/>
      <c r="V230" s="808"/>
      <c r="W230" s="808"/>
      <c r="X230" s="808"/>
      <c r="Y230" s="808"/>
      <c r="Z230" s="808"/>
      <c r="AA230" s="808"/>
      <c r="AB230" s="808"/>
      <c r="AC230" s="808"/>
      <c r="AD230" s="808"/>
      <c r="AE230" s="808"/>
      <c r="AF230" s="808"/>
      <c r="AG230" s="808"/>
      <c r="AH230" s="808"/>
      <c r="AI230" s="808"/>
      <c r="AJ230" s="808"/>
      <c r="AK230" s="808"/>
      <c r="AL230" s="808"/>
      <c r="AM230" s="808"/>
      <c r="AN230" s="808"/>
      <c r="AO230" s="808"/>
      <c r="AP230" s="808"/>
      <c r="AQ230" s="808"/>
      <c r="AR230" s="808"/>
      <c r="AS230" s="808"/>
      <c r="AT230" s="808"/>
      <c r="AU230" s="808"/>
      <c r="AV230" s="808"/>
      <c r="AW230" s="808"/>
      <c r="AX230" s="808"/>
      <c r="AY230" s="808"/>
      <c r="AZ230" s="808"/>
      <c r="BA230" s="808"/>
      <c r="BB230" s="808"/>
      <c r="BC230" s="808"/>
      <c r="BD230" s="808"/>
      <c r="BE230" s="808"/>
      <c r="BF230" s="808"/>
      <c r="BG230" s="808"/>
      <c r="BH230" s="808"/>
      <c r="BI230" s="808"/>
      <c r="BJ230" s="808"/>
      <c r="BK230" s="808"/>
      <c r="BL230" s="808"/>
      <c r="BM230" s="808"/>
      <c r="BN230" s="808"/>
      <c r="BO230" s="808"/>
      <c r="BP230" s="808"/>
      <c r="BQ230" s="808"/>
      <c r="BR230" s="808"/>
      <c r="BS230" s="808"/>
      <c r="BT230" s="808"/>
      <c r="BU230" s="808"/>
      <c r="BV230" s="808"/>
      <c r="BW230" s="808"/>
      <c r="BX230" s="808"/>
      <c r="BY230" s="808"/>
      <c r="BZ230" s="808"/>
      <c r="CA230" s="808"/>
      <c r="CB230" s="808"/>
      <c r="CC230" s="808"/>
      <c r="CD230" s="808"/>
      <c r="CE230" s="808"/>
      <c r="CF230" s="808"/>
      <c r="CG230" s="808"/>
      <c r="CH230" s="808"/>
      <c r="CI230" s="808"/>
      <c r="CJ230" s="808"/>
      <c r="CK230" s="808"/>
      <c r="CL230" s="808"/>
      <c r="CM230" s="808"/>
      <c r="CN230" s="808"/>
      <c r="CO230" s="808"/>
      <c r="CP230" s="808"/>
      <c r="CQ230" s="808"/>
      <c r="CR230" s="808"/>
      <c r="CS230" s="808"/>
      <c r="CT230" s="808"/>
      <c r="CU230" s="808"/>
      <c r="CV230" s="808"/>
      <c r="CW230" s="808"/>
      <c r="CX230" s="808"/>
      <c r="CY230" s="808"/>
      <c r="CZ230" s="808"/>
      <c r="DA230" s="808"/>
      <c r="DB230" s="808"/>
      <c r="DC230" s="808"/>
      <c r="DD230" s="808"/>
      <c r="DE230" s="808"/>
      <c r="DF230" s="808"/>
      <c r="DG230" s="808"/>
      <c r="DH230" s="808"/>
      <c r="DI230" s="808"/>
      <c r="DJ230" s="808"/>
      <c r="DK230" s="808"/>
      <c r="DL230" s="808"/>
      <c r="DM230" s="808"/>
      <c r="DN230" s="808"/>
      <c r="DO230" s="808"/>
      <c r="DP230" s="808"/>
    </row>
    <row r="231" spans="1:120">
      <c r="A231" s="821"/>
      <c r="B231" s="813" t="s">
        <v>961</v>
      </c>
      <c r="C231" s="814" t="s">
        <v>269</v>
      </c>
      <c r="D231" s="815">
        <v>0</v>
      </c>
      <c r="E231" s="815">
        <v>0</v>
      </c>
      <c r="F231" s="815">
        <v>0</v>
      </c>
      <c r="K231" s="808"/>
      <c r="M231" s="808"/>
      <c r="N231" s="808"/>
      <c r="O231" s="808"/>
      <c r="P231" s="808"/>
      <c r="Q231" s="808"/>
      <c r="R231" s="808"/>
      <c r="S231" s="808"/>
      <c r="T231" s="808"/>
      <c r="U231" s="808"/>
      <c r="V231" s="808"/>
      <c r="W231" s="808"/>
      <c r="X231" s="808"/>
      <c r="Y231" s="808"/>
      <c r="Z231" s="808"/>
      <c r="AA231" s="808"/>
      <c r="AB231" s="808"/>
      <c r="AC231" s="808"/>
      <c r="AD231" s="808"/>
      <c r="AE231" s="808"/>
      <c r="AF231" s="808"/>
      <c r="AG231" s="808"/>
      <c r="AH231" s="808"/>
      <c r="AI231" s="808"/>
      <c r="AJ231" s="808"/>
      <c r="AK231" s="808"/>
      <c r="AL231" s="808"/>
      <c r="AM231" s="808"/>
      <c r="AN231" s="808"/>
      <c r="AO231" s="808"/>
      <c r="AP231" s="808"/>
      <c r="AQ231" s="808"/>
      <c r="AR231" s="808"/>
      <c r="AS231" s="808"/>
      <c r="AT231" s="808"/>
      <c r="AU231" s="808"/>
      <c r="AV231" s="808"/>
      <c r="AW231" s="808"/>
      <c r="AX231" s="808"/>
      <c r="AY231" s="808"/>
      <c r="AZ231" s="808"/>
      <c r="BA231" s="808"/>
      <c r="BB231" s="808"/>
      <c r="BC231" s="808"/>
      <c r="BD231" s="808"/>
      <c r="BE231" s="808"/>
      <c r="BF231" s="808"/>
      <c r="BG231" s="808"/>
      <c r="BH231" s="808"/>
      <c r="BI231" s="808"/>
      <c r="BJ231" s="808"/>
      <c r="BK231" s="808"/>
      <c r="BL231" s="808"/>
      <c r="BM231" s="808"/>
      <c r="BN231" s="808"/>
      <c r="BO231" s="808"/>
      <c r="BP231" s="808"/>
      <c r="BQ231" s="808"/>
      <c r="BR231" s="808"/>
      <c r="BS231" s="808"/>
      <c r="BT231" s="808"/>
      <c r="BU231" s="808"/>
      <c r="BV231" s="808"/>
      <c r="BW231" s="808"/>
      <c r="BX231" s="808"/>
      <c r="BY231" s="808"/>
      <c r="BZ231" s="808"/>
      <c r="CA231" s="808"/>
      <c r="CB231" s="808"/>
      <c r="CC231" s="808"/>
      <c r="CD231" s="808"/>
      <c r="CE231" s="808"/>
      <c r="CF231" s="808"/>
      <c r="CG231" s="808"/>
      <c r="CH231" s="808"/>
      <c r="CI231" s="808"/>
      <c r="CJ231" s="808"/>
      <c r="CK231" s="808"/>
      <c r="CL231" s="808"/>
      <c r="CM231" s="808"/>
      <c r="CN231" s="808"/>
      <c r="CO231" s="808"/>
      <c r="CP231" s="808"/>
      <c r="CQ231" s="808"/>
      <c r="CR231" s="808"/>
      <c r="CS231" s="808"/>
      <c r="CT231" s="808"/>
      <c r="CU231" s="808"/>
      <c r="CV231" s="808"/>
      <c r="CW231" s="808"/>
      <c r="CX231" s="808"/>
      <c r="CY231" s="808"/>
      <c r="CZ231" s="808"/>
      <c r="DA231" s="808"/>
      <c r="DB231" s="808"/>
      <c r="DC231" s="808"/>
      <c r="DD231" s="808"/>
      <c r="DE231" s="808"/>
      <c r="DF231" s="808"/>
      <c r="DG231" s="808"/>
      <c r="DH231" s="808"/>
      <c r="DI231" s="808"/>
      <c r="DJ231" s="808"/>
      <c r="DK231" s="808"/>
      <c r="DL231" s="808"/>
      <c r="DM231" s="808"/>
      <c r="DN231" s="808"/>
      <c r="DO231" s="808"/>
      <c r="DP231" s="808"/>
    </row>
    <row r="232" spans="1:120">
      <c r="A232" s="821"/>
      <c r="B232" s="813" t="s">
        <v>1208</v>
      </c>
      <c r="C232" s="814" t="s">
        <v>1303</v>
      </c>
      <c r="D232" s="815">
        <v>0</v>
      </c>
      <c r="E232" s="815">
        <v>0</v>
      </c>
      <c r="F232" s="815">
        <v>0</v>
      </c>
      <c r="K232" s="808"/>
      <c r="M232" s="808"/>
      <c r="N232" s="808"/>
      <c r="O232" s="808"/>
      <c r="P232" s="808"/>
      <c r="Q232" s="808"/>
      <c r="R232" s="808"/>
      <c r="S232" s="808"/>
      <c r="T232" s="808"/>
      <c r="U232" s="808"/>
      <c r="V232" s="808"/>
      <c r="W232" s="808"/>
      <c r="X232" s="808"/>
      <c r="Y232" s="808"/>
      <c r="Z232" s="808"/>
      <c r="AA232" s="808"/>
      <c r="AB232" s="808"/>
      <c r="AC232" s="808"/>
      <c r="AD232" s="808"/>
      <c r="AE232" s="808"/>
      <c r="AF232" s="808"/>
      <c r="AG232" s="808"/>
      <c r="AH232" s="808"/>
      <c r="AI232" s="808"/>
      <c r="AJ232" s="808"/>
      <c r="AK232" s="808"/>
      <c r="AL232" s="808"/>
      <c r="AM232" s="808"/>
      <c r="AN232" s="808"/>
      <c r="AO232" s="808"/>
      <c r="AP232" s="808"/>
      <c r="AQ232" s="808"/>
      <c r="AR232" s="808"/>
      <c r="AS232" s="808"/>
      <c r="AT232" s="808"/>
      <c r="AU232" s="808"/>
      <c r="AV232" s="808"/>
      <c r="AW232" s="808"/>
      <c r="AX232" s="808"/>
      <c r="AY232" s="808"/>
      <c r="AZ232" s="808"/>
      <c r="BA232" s="808"/>
      <c r="BB232" s="808"/>
      <c r="BC232" s="808"/>
      <c r="BD232" s="808"/>
      <c r="BE232" s="808"/>
      <c r="BF232" s="808"/>
      <c r="BG232" s="808"/>
      <c r="BH232" s="808"/>
      <c r="BI232" s="808"/>
      <c r="BJ232" s="808"/>
      <c r="BK232" s="808"/>
      <c r="BL232" s="808"/>
      <c r="BM232" s="808"/>
      <c r="BN232" s="808"/>
      <c r="BO232" s="808"/>
      <c r="BP232" s="808"/>
      <c r="BQ232" s="808"/>
      <c r="BR232" s="808"/>
      <c r="BS232" s="808"/>
      <c r="BT232" s="808"/>
      <c r="BU232" s="808"/>
      <c r="BV232" s="808"/>
      <c r="BW232" s="808"/>
      <c r="BX232" s="808"/>
      <c r="BY232" s="808"/>
      <c r="BZ232" s="808"/>
      <c r="CA232" s="808"/>
      <c r="CB232" s="808"/>
      <c r="CC232" s="808"/>
      <c r="CD232" s="808"/>
      <c r="CE232" s="808"/>
      <c r="CF232" s="808"/>
      <c r="CG232" s="808"/>
      <c r="CH232" s="808"/>
      <c r="CI232" s="808"/>
      <c r="CJ232" s="808"/>
      <c r="CK232" s="808"/>
      <c r="CL232" s="808"/>
      <c r="CM232" s="808"/>
      <c r="CN232" s="808"/>
      <c r="CO232" s="808"/>
      <c r="CP232" s="808"/>
      <c r="CQ232" s="808"/>
      <c r="CR232" s="808"/>
      <c r="CS232" s="808"/>
      <c r="CT232" s="808"/>
      <c r="CU232" s="808"/>
      <c r="CV232" s="808"/>
      <c r="CW232" s="808"/>
      <c r="CX232" s="808"/>
      <c r="CY232" s="808"/>
      <c r="CZ232" s="808"/>
      <c r="DA232" s="808"/>
      <c r="DB232" s="808"/>
      <c r="DC232" s="808"/>
      <c r="DD232" s="808"/>
      <c r="DE232" s="808"/>
      <c r="DF232" s="808"/>
      <c r="DG232" s="808"/>
      <c r="DH232" s="808"/>
      <c r="DI232" s="808"/>
      <c r="DJ232" s="808"/>
      <c r="DK232" s="808"/>
      <c r="DL232" s="808"/>
      <c r="DM232" s="808"/>
      <c r="DN232" s="808"/>
      <c r="DO232" s="808"/>
      <c r="DP232" s="808"/>
    </row>
    <row r="233" spans="1:120">
      <c r="A233" s="821"/>
      <c r="B233" s="813" t="s">
        <v>1210</v>
      </c>
      <c r="C233" s="814" t="s">
        <v>88</v>
      </c>
      <c r="D233" s="815">
        <v>0</v>
      </c>
      <c r="E233" s="815">
        <v>0</v>
      </c>
      <c r="F233" s="815">
        <v>0</v>
      </c>
      <c r="K233" s="808"/>
      <c r="M233" s="808"/>
      <c r="N233" s="808"/>
      <c r="O233" s="808"/>
      <c r="P233" s="808"/>
      <c r="Q233" s="808"/>
      <c r="R233" s="808"/>
      <c r="S233" s="808"/>
      <c r="T233" s="808"/>
      <c r="U233" s="808"/>
      <c r="V233" s="808"/>
      <c r="W233" s="808"/>
      <c r="X233" s="808"/>
      <c r="Y233" s="808"/>
      <c r="Z233" s="808"/>
      <c r="AA233" s="808"/>
      <c r="AB233" s="808"/>
      <c r="AC233" s="808"/>
      <c r="AD233" s="808"/>
      <c r="AE233" s="808"/>
      <c r="AF233" s="808"/>
      <c r="AG233" s="808"/>
      <c r="AH233" s="808"/>
      <c r="AI233" s="808"/>
      <c r="AJ233" s="808"/>
      <c r="AK233" s="808"/>
      <c r="AL233" s="808"/>
      <c r="AM233" s="808"/>
      <c r="AN233" s="808"/>
      <c r="AO233" s="808"/>
      <c r="AP233" s="808"/>
      <c r="AQ233" s="808"/>
      <c r="AR233" s="808"/>
      <c r="AS233" s="808"/>
      <c r="AT233" s="808"/>
      <c r="AU233" s="808"/>
      <c r="AV233" s="808"/>
      <c r="AW233" s="808"/>
      <c r="AX233" s="808"/>
      <c r="AY233" s="808"/>
      <c r="AZ233" s="808"/>
      <c r="BA233" s="808"/>
      <c r="BB233" s="808"/>
      <c r="BC233" s="808"/>
      <c r="BD233" s="808"/>
      <c r="BE233" s="808"/>
      <c r="BF233" s="808"/>
      <c r="BG233" s="808"/>
      <c r="BH233" s="808"/>
      <c r="BI233" s="808"/>
      <c r="BJ233" s="808"/>
      <c r="BK233" s="808"/>
      <c r="BL233" s="808"/>
      <c r="BM233" s="808"/>
      <c r="BN233" s="808"/>
      <c r="BO233" s="808"/>
      <c r="BP233" s="808"/>
      <c r="BQ233" s="808"/>
      <c r="BR233" s="808"/>
      <c r="BS233" s="808"/>
      <c r="BT233" s="808"/>
      <c r="BU233" s="808"/>
      <c r="BV233" s="808"/>
      <c r="BW233" s="808"/>
      <c r="BX233" s="808"/>
      <c r="BY233" s="808"/>
      <c r="BZ233" s="808"/>
      <c r="CA233" s="808"/>
      <c r="CB233" s="808"/>
      <c r="CC233" s="808"/>
      <c r="CD233" s="808"/>
      <c r="CE233" s="808"/>
      <c r="CF233" s="808"/>
      <c r="CG233" s="808"/>
      <c r="CH233" s="808"/>
      <c r="CI233" s="808"/>
      <c r="CJ233" s="808"/>
      <c r="CK233" s="808"/>
      <c r="CL233" s="808"/>
      <c r="CM233" s="808"/>
      <c r="CN233" s="808"/>
      <c r="CO233" s="808"/>
      <c r="CP233" s="808"/>
      <c r="CQ233" s="808"/>
      <c r="CR233" s="808"/>
      <c r="CS233" s="808"/>
      <c r="CT233" s="808"/>
      <c r="CU233" s="808"/>
      <c r="CV233" s="808"/>
      <c r="CW233" s="808"/>
      <c r="CX233" s="808"/>
      <c r="CY233" s="808"/>
      <c r="CZ233" s="808"/>
      <c r="DA233" s="808"/>
      <c r="DB233" s="808"/>
      <c r="DC233" s="808"/>
      <c r="DD233" s="808"/>
      <c r="DE233" s="808"/>
      <c r="DF233" s="808"/>
      <c r="DG233" s="808"/>
      <c r="DH233" s="808"/>
      <c r="DI233" s="808"/>
      <c r="DJ233" s="808"/>
      <c r="DK233" s="808"/>
      <c r="DL233" s="808"/>
      <c r="DM233" s="808"/>
      <c r="DN233" s="808"/>
      <c r="DO233" s="808"/>
      <c r="DP233" s="808"/>
    </row>
    <row r="234" spans="1:120" ht="26.4">
      <c r="A234" s="821"/>
      <c r="B234" s="813" t="s">
        <v>1305</v>
      </c>
      <c r="C234" s="814" t="s">
        <v>1306</v>
      </c>
      <c r="D234" s="815">
        <v>0</v>
      </c>
      <c r="E234" s="815">
        <v>0</v>
      </c>
      <c r="F234" s="815">
        <v>0</v>
      </c>
      <c r="K234" s="808"/>
      <c r="M234" s="808"/>
      <c r="N234" s="808"/>
      <c r="O234" s="808"/>
      <c r="P234" s="808"/>
      <c r="Q234" s="808"/>
      <c r="R234" s="808"/>
      <c r="S234" s="808"/>
      <c r="T234" s="808"/>
      <c r="U234" s="808"/>
      <c r="V234" s="808"/>
      <c r="W234" s="808"/>
      <c r="X234" s="808"/>
      <c r="Y234" s="808"/>
      <c r="Z234" s="808"/>
      <c r="AA234" s="808"/>
      <c r="AB234" s="808"/>
      <c r="AC234" s="808"/>
      <c r="AD234" s="808"/>
      <c r="AE234" s="808"/>
      <c r="AF234" s="808"/>
      <c r="AG234" s="808"/>
      <c r="AH234" s="808"/>
      <c r="AI234" s="808"/>
      <c r="AJ234" s="808"/>
      <c r="AK234" s="808"/>
      <c r="AL234" s="808"/>
      <c r="AM234" s="808"/>
      <c r="AN234" s="808"/>
      <c r="AO234" s="808"/>
      <c r="AP234" s="808"/>
      <c r="AQ234" s="808"/>
      <c r="AR234" s="808"/>
      <c r="AS234" s="808"/>
      <c r="AT234" s="808"/>
      <c r="AU234" s="808"/>
      <c r="AV234" s="808"/>
      <c r="AW234" s="808"/>
      <c r="AX234" s="808"/>
      <c r="AY234" s="808"/>
      <c r="AZ234" s="808"/>
      <c r="BA234" s="808"/>
      <c r="BB234" s="808"/>
      <c r="BC234" s="808"/>
      <c r="BD234" s="808"/>
      <c r="BE234" s="808"/>
      <c r="BF234" s="808"/>
      <c r="BG234" s="808"/>
      <c r="BH234" s="808"/>
      <c r="BI234" s="808"/>
      <c r="BJ234" s="808"/>
      <c r="BK234" s="808"/>
      <c r="BL234" s="808"/>
      <c r="BM234" s="808"/>
      <c r="BN234" s="808"/>
      <c r="BO234" s="808"/>
      <c r="BP234" s="808"/>
      <c r="BQ234" s="808"/>
      <c r="BR234" s="808"/>
      <c r="BS234" s="808"/>
      <c r="BT234" s="808"/>
      <c r="BU234" s="808"/>
      <c r="BV234" s="808"/>
      <c r="BW234" s="808"/>
      <c r="BX234" s="808"/>
      <c r="BY234" s="808"/>
      <c r="BZ234" s="808"/>
      <c r="CA234" s="808"/>
      <c r="CB234" s="808"/>
      <c r="CC234" s="808"/>
      <c r="CD234" s="808"/>
      <c r="CE234" s="808"/>
      <c r="CF234" s="808"/>
      <c r="CG234" s="808"/>
      <c r="CH234" s="808"/>
      <c r="CI234" s="808"/>
      <c r="CJ234" s="808"/>
      <c r="CK234" s="808"/>
      <c r="CL234" s="808"/>
      <c r="CM234" s="808"/>
      <c r="CN234" s="808"/>
      <c r="CO234" s="808"/>
      <c r="CP234" s="808"/>
      <c r="CQ234" s="808"/>
      <c r="CR234" s="808"/>
      <c r="CS234" s="808"/>
      <c r="CT234" s="808"/>
      <c r="CU234" s="808"/>
      <c r="CV234" s="808"/>
      <c r="CW234" s="808"/>
      <c r="CX234" s="808"/>
      <c r="CY234" s="808"/>
      <c r="CZ234" s="808"/>
      <c r="DA234" s="808"/>
      <c r="DB234" s="808"/>
      <c r="DC234" s="808"/>
      <c r="DD234" s="808"/>
      <c r="DE234" s="808"/>
      <c r="DF234" s="808"/>
      <c r="DG234" s="808"/>
      <c r="DH234" s="808"/>
      <c r="DI234" s="808"/>
      <c r="DJ234" s="808"/>
      <c r="DK234" s="808"/>
      <c r="DL234" s="808"/>
      <c r="DM234" s="808"/>
      <c r="DN234" s="808"/>
      <c r="DO234" s="808"/>
      <c r="DP234" s="808"/>
    </row>
    <row r="235" spans="1:120">
      <c r="A235" s="821"/>
      <c r="B235" s="813" t="s">
        <v>962</v>
      </c>
      <c r="C235" s="814" t="s">
        <v>195</v>
      </c>
      <c r="D235" s="815">
        <v>14849519.300000001</v>
      </c>
      <c r="E235" s="815">
        <v>0</v>
      </c>
      <c r="F235" s="815">
        <v>14849519.300000001</v>
      </c>
      <c r="K235" s="808"/>
      <c r="M235" s="808"/>
      <c r="N235" s="808"/>
      <c r="O235" s="808"/>
      <c r="P235" s="808"/>
      <c r="Q235" s="808"/>
      <c r="R235" s="808"/>
      <c r="S235" s="808"/>
      <c r="T235" s="808"/>
      <c r="U235" s="808"/>
      <c r="V235" s="808"/>
      <c r="W235" s="808"/>
      <c r="X235" s="808"/>
      <c r="Y235" s="808"/>
      <c r="Z235" s="808"/>
      <c r="AA235" s="808"/>
      <c r="AB235" s="808"/>
      <c r="AC235" s="808"/>
      <c r="AD235" s="808"/>
      <c r="AE235" s="808"/>
      <c r="AF235" s="808"/>
      <c r="AG235" s="808"/>
      <c r="AH235" s="808"/>
      <c r="AI235" s="808"/>
      <c r="AJ235" s="808"/>
      <c r="AK235" s="808"/>
      <c r="AL235" s="808"/>
      <c r="AM235" s="808"/>
      <c r="AN235" s="808"/>
      <c r="AO235" s="808"/>
      <c r="AP235" s="808"/>
      <c r="AQ235" s="808"/>
      <c r="AR235" s="808"/>
      <c r="AS235" s="808"/>
      <c r="AT235" s="808"/>
      <c r="AU235" s="808"/>
      <c r="AV235" s="808"/>
      <c r="AW235" s="808"/>
      <c r="AX235" s="808"/>
      <c r="AY235" s="808"/>
      <c r="AZ235" s="808"/>
      <c r="BA235" s="808"/>
      <c r="BB235" s="808"/>
      <c r="BC235" s="808"/>
      <c r="BD235" s="808"/>
      <c r="BE235" s="808"/>
      <c r="BF235" s="808"/>
      <c r="BG235" s="808"/>
      <c r="BH235" s="808"/>
      <c r="BI235" s="808"/>
      <c r="BJ235" s="808"/>
      <c r="BK235" s="808"/>
      <c r="BL235" s="808"/>
      <c r="BM235" s="808"/>
      <c r="BN235" s="808"/>
      <c r="BO235" s="808"/>
      <c r="BP235" s="808"/>
      <c r="BQ235" s="808"/>
      <c r="BR235" s="808"/>
      <c r="BS235" s="808"/>
      <c r="BT235" s="808"/>
      <c r="BU235" s="808"/>
      <c r="BV235" s="808"/>
      <c r="BW235" s="808"/>
      <c r="BX235" s="808"/>
      <c r="BY235" s="808"/>
      <c r="BZ235" s="808"/>
      <c r="CA235" s="808"/>
      <c r="CB235" s="808"/>
      <c r="CC235" s="808"/>
      <c r="CD235" s="808"/>
      <c r="CE235" s="808"/>
      <c r="CF235" s="808"/>
      <c r="CG235" s="808"/>
      <c r="CH235" s="808"/>
      <c r="CI235" s="808"/>
      <c r="CJ235" s="808"/>
      <c r="CK235" s="808"/>
      <c r="CL235" s="808"/>
      <c r="CM235" s="808"/>
      <c r="CN235" s="808"/>
      <c r="CO235" s="808"/>
      <c r="CP235" s="808"/>
      <c r="CQ235" s="808"/>
      <c r="CR235" s="808"/>
      <c r="CS235" s="808"/>
      <c r="CT235" s="808"/>
      <c r="CU235" s="808"/>
      <c r="CV235" s="808"/>
      <c r="CW235" s="808"/>
      <c r="CX235" s="808"/>
      <c r="CY235" s="808"/>
      <c r="CZ235" s="808"/>
      <c r="DA235" s="808"/>
      <c r="DB235" s="808"/>
      <c r="DC235" s="808"/>
      <c r="DD235" s="808"/>
      <c r="DE235" s="808"/>
      <c r="DF235" s="808"/>
      <c r="DG235" s="808"/>
      <c r="DH235" s="808"/>
      <c r="DI235" s="808"/>
      <c r="DJ235" s="808"/>
      <c r="DK235" s="808"/>
      <c r="DL235" s="808"/>
      <c r="DM235" s="808"/>
      <c r="DN235" s="808"/>
      <c r="DO235" s="808"/>
      <c r="DP235" s="808"/>
    </row>
    <row r="236" spans="1:120">
      <c r="A236" s="821" t="s">
        <v>1201</v>
      </c>
      <c r="B236" s="807" t="s">
        <v>1201</v>
      </c>
      <c r="C236" s="808" t="s">
        <v>1201</v>
      </c>
      <c r="D236" s="214" t="s">
        <v>1201</v>
      </c>
      <c r="K236" s="808"/>
      <c r="M236" s="808"/>
      <c r="N236" s="808"/>
      <c r="O236" s="808"/>
      <c r="P236" s="808"/>
      <c r="Q236" s="808"/>
      <c r="R236" s="808"/>
      <c r="S236" s="808"/>
      <c r="T236" s="808"/>
      <c r="U236" s="808"/>
      <c r="V236" s="808"/>
      <c r="W236" s="808"/>
      <c r="X236" s="808"/>
      <c r="Y236" s="808"/>
      <c r="Z236" s="808"/>
      <c r="AA236" s="808"/>
      <c r="AB236" s="808"/>
      <c r="AC236" s="808"/>
      <c r="AD236" s="808"/>
      <c r="AE236" s="808"/>
      <c r="AF236" s="808"/>
      <c r="AG236" s="808"/>
      <c r="AH236" s="808"/>
      <c r="AI236" s="808"/>
      <c r="AJ236" s="808"/>
      <c r="AK236" s="808"/>
      <c r="AL236" s="808"/>
      <c r="AM236" s="808"/>
      <c r="AN236" s="808"/>
      <c r="AO236" s="808"/>
      <c r="AP236" s="808"/>
      <c r="AQ236" s="808"/>
      <c r="AR236" s="808"/>
      <c r="AS236" s="808"/>
      <c r="AT236" s="808"/>
      <c r="AU236" s="808"/>
      <c r="AV236" s="808"/>
      <c r="AW236" s="808"/>
      <c r="AX236" s="808"/>
      <c r="AY236" s="808"/>
      <c r="AZ236" s="808"/>
      <c r="BA236" s="808"/>
      <c r="BB236" s="808"/>
      <c r="BC236" s="808"/>
      <c r="BD236" s="808"/>
      <c r="BE236" s="808"/>
      <c r="BF236" s="808"/>
      <c r="BG236" s="808"/>
      <c r="BH236" s="808"/>
      <c r="BI236" s="808"/>
      <c r="BJ236" s="808"/>
      <c r="BK236" s="808"/>
      <c r="BL236" s="808"/>
      <c r="BM236" s="808"/>
      <c r="BN236" s="808"/>
      <c r="BO236" s="808"/>
      <c r="BP236" s="984"/>
      <c r="BQ236" s="984"/>
      <c r="BR236" s="984"/>
      <c r="BS236" s="984"/>
      <c r="BT236" s="984"/>
      <c r="BU236" s="984"/>
      <c r="BV236" s="984"/>
      <c r="BW236" s="984"/>
      <c r="BX236" s="984"/>
      <c r="BY236" s="984"/>
      <c r="BZ236" s="984"/>
      <c r="CA236" s="984"/>
      <c r="CB236" s="984"/>
      <c r="CC236" s="984"/>
      <c r="CD236" s="984"/>
      <c r="CE236" s="984"/>
      <c r="CF236" s="984"/>
      <c r="CG236" s="984"/>
      <c r="CH236" s="984"/>
      <c r="CI236" s="984"/>
      <c r="CJ236" s="984"/>
      <c r="CK236" s="984"/>
      <c r="CL236" s="984"/>
      <c r="CM236" s="984"/>
      <c r="CN236" s="984"/>
      <c r="CO236" s="984"/>
      <c r="CP236" s="984"/>
      <c r="CQ236" s="984"/>
      <c r="CR236" s="984"/>
      <c r="CS236" s="984"/>
      <c r="CT236" s="984"/>
      <c r="CU236" s="984"/>
      <c r="CV236" s="984"/>
      <c r="CW236" s="984"/>
      <c r="CX236" s="984"/>
      <c r="CY236" s="984"/>
      <c r="CZ236" s="984"/>
      <c r="DA236" s="984"/>
      <c r="DB236" s="984"/>
      <c r="DC236" s="984"/>
      <c r="DD236" s="984"/>
      <c r="DE236" s="984"/>
      <c r="DF236" s="984"/>
      <c r="DG236" s="984"/>
      <c r="DH236" s="984"/>
      <c r="DI236" s="984"/>
      <c r="DJ236" s="984"/>
      <c r="DK236" s="984"/>
      <c r="DL236" s="984"/>
      <c r="DM236" s="984"/>
      <c r="DN236" s="984"/>
      <c r="DO236" s="984"/>
      <c r="DP236" s="984"/>
    </row>
    <row r="237" spans="1:120" hidden="1">
      <c r="A237" s="821"/>
      <c r="B237" s="809"/>
      <c r="C237" s="809" t="s">
        <v>1307</v>
      </c>
      <c r="K237" s="808"/>
      <c r="M237" s="808"/>
      <c r="N237" s="808"/>
      <c r="O237" s="808"/>
      <c r="P237" s="808"/>
      <c r="Q237" s="808"/>
      <c r="R237" s="808"/>
      <c r="S237" s="808"/>
      <c r="T237" s="808"/>
      <c r="U237" s="808"/>
      <c r="V237" s="808"/>
      <c r="W237" s="808"/>
      <c r="X237" s="808"/>
      <c r="Y237" s="808"/>
      <c r="Z237" s="808"/>
      <c r="AA237" s="808"/>
      <c r="AB237" s="808"/>
      <c r="AC237" s="808"/>
      <c r="AD237" s="808"/>
      <c r="AE237" s="808"/>
      <c r="AF237" s="808"/>
      <c r="AG237" s="808"/>
      <c r="AH237" s="808"/>
      <c r="AI237" s="808"/>
      <c r="AJ237" s="808"/>
      <c r="AK237" s="808"/>
      <c r="AL237" s="808"/>
      <c r="AM237" s="808"/>
      <c r="AN237" s="808"/>
      <c r="AO237" s="808"/>
      <c r="AP237" s="808"/>
      <c r="AQ237" s="808"/>
      <c r="AR237" s="808"/>
      <c r="AS237" s="808"/>
      <c r="AT237" s="808"/>
      <c r="AU237" s="808"/>
      <c r="AV237" s="808"/>
      <c r="AW237" s="808"/>
      <c r="AX237" s="808"/>
      <c r="AY237" s="808"/>
      <c r="AZ237" s="808"/>
      <c r="BA237" s="808"/>
      <c r="BB237" s="808"/>
      <c r="BC237" s="808"/>
      <c r="BD237" s="808"/>
      <c r="BE237" s="808"/>
      <c r="BF237" s="808"/>
      <c r="BG237" s="808"/>
      <c r="BH237" s="808"/>
      <c r="BI237" s="808"/>
      <c r="BJ237" s="808"/>
      <c r="BK237" s="808"/>
      <c r="BL237" s="808"/>
      <c r="BM237" s="808"/>
      <c r="BN237" s="808"/>
      <c r="BO237" s="808"/>
      <c r="BP237" s="808"/>
      <c r="BQ237" s="808"/>
      <c r="BR237" s="808"/>
      <c r="BS237" s="808"/>
      <c r="BT237" s="808"/>
      <c r="BU237" s="808"/>
      <c r="BV237" s="808"/>
      <c r="BW237" s="808"/>
      <c r="BX237" s="808"/>
      <c r="BY237" s="808"/>
      <c r="BZ237" s="808"/>
      <c r="CA237" s="808"/>
      <c r="CB237" s="808"/>
      <c r="CC237" s="808"/>
      <c r="CD237" s="808"/>
      <c r="CE237" s="808"/>
      <c r="CF237" s="808"/>
      <c r="CG237" s="808"/>
      <c r="CH237" s="808"/>
      <c r="CI237" s="808"/>
      <c r="CJ237" s="808"/>
      <c r="CK237" s="808"/>
      <c r="CL237" s="808"/>
      <c r="CM237" s="808"/>
      <c r="CN237" s="808"/>
      <c r="CO237" s="808"/>
      <c r="CP237" s="808"/>
      <c r="CQ237" s="808"/>
      <c r="CR237" s="808"/>
      <c r="CS237" s="808"/>
      <c r="CT237" s="808"/>
      <c r="CU237" s="808"/>
      <c r="CV237" s="808"/>
      <c r="CW237" s="808"/>
      <c r="CX237" s="808"/>
      <c r="CY237" s="808"/>
      <c r="CZ237" s="808"/>
      <c r="DA237" s="808"/>
      <c r="DB237" s="808"/>
      <c r="DC237" s="808"/>
      <c r="DD237" s="808"/>
      <c r="DE237" s="808"/>
      <c r="DF237" s="808"/>
      <c r="DG237" s="808"/>
      <c r="DH237" s="808"/>
      <c r="DI237" s="808"/>
      <c r="DJ237" s="808"/>
      <c r="DK237" s="808"/>
      <c r="DL237" s="808"/>
      <c r="DM237" s="808"/>
      <c r="DN237" s="808"/>
      <c r="DO237" s="808"/>
      <c r="DP237" s="808"/>
    </row>
    <row r="238" spans="1:120" hidden="1">
      <c r="A238" s="821"/>
      <c r="B238" s="807"/>
      <c r="C238" s="808"/>
      <c r="G238" s="810" t="s">
        <v>1203</v>
      </c>
      <c r="K238" s="808"/>
      <c r="M238" s="808"/>
      <c r="N238" s="808"/>
      <c r="O238" s="808"/>
      <c r="P238" s="808"/>
      <c r="Q238" s="808"/>
      <c r="R238" s="808"/>
      <c r="S238" s="808"/>
      <c r="T238" s="808"/>
      <c r="U238" s="808"/>
      <c r="V238" s="808"/>
      <c r="W238" s="808"/>
      <c r="X238" s="808"/>
      <c r="Y238" s="808"/>
      <c r="Z238" s="808"/>
      <c r="AA238" s="808"/>
      <c r="AB238" s="808"/>
      <c r="AC238" s="808"/>
      <c r="AD238" s="808"/>
      <c r="AE238" s="808"/>
      <c r="AF238" s="808"/>
      <c r="AG238" s="808"/>
      <c r="AH238" s="808"/>
      <c r="AI238" s="808"/>
      <c r="AJ238" s="808"/>
      <c r="AK238" s="808"/>
      <c r="AL238" s="808"/>
      <c r="AM238" s="808"/>
      <c r="AN238" s="808"/>
      <c r="AO238" s="808"/>
      <c r="AP238" s="808"/>
      <c r="AQ238" s="808"/>
      <c r="AR238" s="808"/>
      <c r="AS238" s="808"/>
      <c r="AT238" s="808"/>
      <c r="AU238" s="808"/>
      <c r="AV238" s="808"/>
      <c r="AW238" s="808"/>
      <c r="AX238" s="808"/>
      <c r="AY238" s="808"/>
      <c r="AZ238" s="808"/>
      <c r="BA238" s="808"/>
      <c r="BB238" s="808"/>
      <c r="BC238" s="808"/>
      <c r="BD238" s="808"/>
      <c r="BE238" s="808"/>
      <c r="BF238" s="808"/>
      <c r="BG238" s="808"/>
      <c r="BH238" s="808"/>
      <c r="BI238" s="808"/>
      <c r="BJ238" s="808"/>
      <c r="BK238" s="808"/>
      <c r="BL238" s="808"/>
      <c r="BM238" s="808"/>
      <c r="BN238" s="808"/>
      <c r="BO238" s="808"/>
      <c r="BP238" s="808"/>
      <c r="BQ238" s="808"/>
      <c r="BR238" s="808"/>
      <c r="BS238" s="808"/>
      <c r="BT238" s="808"/>
      <c r="BU238" s="808"/>
      <c r="BV238" s="808"/>
      <c r="BW238" s="808"/>
      <c r="BX238" s="808"/>
      <c r="BY238" s="808"/>
      <c r="BZ238" s="808"/>
      <c r="CA238" s="808"/>
      <c r="CB238" s="808"/>
      <c r="CC238" s="808"/>
      <c r="CD238" s="808"/>
      <c r="CE238" s="808"/>
      <c r="CF238" s="808"/>
      <c r="CG238" s="808"/>
      <c r="CH238" s="808"/>
      <c r="CI238" s="808"/>
      <c r="CJ238" s="808"/>
      <c r="CK238" s="808"/>
      <c r="CL238" s="808"/>
      <c r="CM238" s="808"/>
      <c r="CN238" s="808"/>
      <c r="CO238" s="808"/>
      <c r="CP238" s="808"/>
      <c r="CQ238" s="808"/>
      <c r="CR238" s="808"/>
      <c r="CS238" s="808"/>
      <c r="CT238" s="808"/>
      <c r="CU238" s="808"/>
      <c r="CV238" s="808"/>
      <c r="CW238" s="808"/>
      <c r="CX238" s="808"/>
      <c r="CY238" s="808"/>
      <c r="CZ238" s="808"/>
      <c r="DA238" s="808"/>
      <c r="DB238" s="808"/>
      <c r="DC238" s="808"/>
      <c r="DD238" s="808"/>
      <c r="DE238" s="808"/>
      <c r="DF238" s="808"/>
      <c r="DG238" s="808"/>
      <c r="DH238" s="808"/>
      <c r="DI238" s="808"/>
      <c r="DJ238" s="808"/>
      <c r="DK238" s="808"/>
      <c r="DL238" s="808"/>
      <c r="DM238" s="808"/>
      <c r="DN238" s="808"/>
      <c r="DO238" s="808"/>
      <c r="DP238" s="808"/>
    </row>
    <row r="239" spans="1:120" hidden="1">
      <c r="A239" s="821"/>
      <c r="B239" s="811" t="s">
        <v>79</v>
      </c>
      <c r="C239" s="811" t="s">
        <v>5</v>
      </c>
      <c r="D239" s="812" t="s">
        <v>195</v>
      </c>
      <c r="E239" s="812" t="s">
        <v>206</v>
      </c>
      <c r="F239" s="812" t="s">
        <v>1207</v>
      </c>
      <c r="G239" s="812" t="s">
        <v>195</v>
      </c>
      <c r="K239" s="808"/>
      <c r="M239" s="808"/>
      <c r="N239" s="808"/>
      <c r="O239" s="808"/>
      <c r="P239" s="808"/>
      <c r="Q239" s="808"/>
      <c r="R239" s="808"/>
      <c r="S239" s="808"/>
      <c r="T239" s="808"/>
      <c r="U239" s="808"/>
      <c r="V239" s="808"/>
      <c r="W239" s="808"/>
      <c r="X239" s="808"/>
      <c r="Y239" s="808"/>
      <c r="Z239" s="808"/>
      <c r="AA239" s="808"/>
      <c r="AB239" s="808"/>
      <c r="AC239" s="808"/>
      <c r="AD239" s="808"/>
      <c r="AE239" s="808"/>
      <c r="AF239" s="808"/>
      <c r="AG239" s="808"/>
      <c r="AH239" s="808"/>
      <c r="AI239" s="808"/>
      <c r="AJ239" s="808"/>
      <c r="AK239" s="808"/>
      <c r="AL239" s="808"/>
      <c r="AM239" s="808"/>
      <c r="AN239" s="808"/>
      <c r="AO239" s="808"/>
      <c r="AP239" s="808"/>
      <c r="AQ239" s="808"/>
      <c r="AR239" s="808"/>
      <c r="AS239" s="808"/>
      <c r="AT239" s="808"/>
      <c r="AU239" s="808"/>
      <c r="AV239" s="808"/>
      <c r="AW239" s="808"/>
      <c r="AX239" s="808"/>
      <c r="AY239" s="808"/>
      <c r="AZ239" s="808"/>
      <c r="BA239" s="808"/>
      <c r="BB239" s="808"/>
      <c r="BC239" s="808"/>
      <c r="BD239" s="808"/>
      <c r="BE239" s="808"/>
      <c r="BF239" s="808"/>
      <c r="BG239" s="808"/>
      <c r="BH239" s="808"/>
      <c r="BI239" s="808"/>
      <c r="BJ239" s="808"/>
      <c r="BK239" s="808"/>
      <c r="BL239" s="808"/>
      <c r="BM239" s="808"/>
      <c r="BN239" s="808"/>
      <c r="BO239" s="808"/>
      <c r="BP239" s="808"/>
      <c r="BQ239" s="808"/>
      <c r="BR239" s="808"/>
      <c r="BS239" s="808"/>
      <c r="BT239" s="808"/>
      <c r="BU239" s="808"/>
      <c r="BV239" s="808"/>
      <c r="BW239" s="808"/>
      <c r="BX239" s="808"/>
      <c r="BY239" s="808"/>
      <c r="BZ239" s="808"/>
      <c r="CA239" s="808"/>
      <c r="CB239" s="808"/>
      <c r="CC239" s="808"/>
      <c r="CD239" s="808"/>
      <c r="CE239" s="808"/>
      <c r="CF239" s="808"/>
      <c r="CG239" s="808"/>
      <c r="CH239" s="808"/>
      <c r="CI239" s="808"/>
      <c r="CJ239" s="808"/>
      <c r="CK239" s="808"/>
      <c r="CL239" s="808"/>
      <c r="CM239" s="808"/>
      <c r="CN239" s="808"/>
      <c r="CO239" s="808"/>
      <c r="CP239" s="808"/>
      <c r="CQ239" s="808"/>
      <c r="CR239" s="808"/>
      <c r="CS239" s="808"/>
      <c r="CT239" s="808"/>
      <c r="CU239" s="808"/>
      <c r="CV239" s="808"/>
      <c r="CW239" s="808"/>
      <c r="CX239" s="808"/>
      <c r="CY239" s="808"/>
      <c r="CZ239" s="808"/>
      <c r="DA239" s="808"/>
      <c r="DB239" s="808"/>
      <c r="DC239" s="808"/>
      <c r="DD239" s="808"/>
      <c r="DE239" s="808"/>
      <c r="DF239" s="808"/>
      <c r="DG239" s="808"/>
      <c r="DH239" s="808"/>
      <c r="DI239" s="808"/>
      <c r="DJ239" s="808"/>
      <c r="DK239" s="808"/>
      <c r="DL239" s="808"/>
      <c r="DM239" s="808"/>
      <c r="DN239" s="808"/>
      <c r="DO239" s="808"/>
      <c r="DP239" s="808"/>
    </row>
    <row r="240" spans="1:120" ht="26.4" hidden="1">
      <c r="A240" s="821"/>
      <c r="B240" s="813" t="s">
        <v>947</v>
      </c>
      <c r="C240" s="814" t="s">
        <v>359</v>
      </c>
      <c r="D240" s="815">
        <v>0</v>
      </c>
      <c r="E240" s="815">
        <v>0</v>
      </c>
      <c r="F240" s="815">
        <v>0</v>
      </c>
      <c r="G240" s="815">
        <v>0</v>
      </c>
      <c r="K240" s="808"/>
      <c r="M240" s="808"/>
      <c r="N240" s="808"/>
      <c r="O240" s="808"/>
      <c r="P240" s="808"/>
      <c r="Q240" s="808"/>
      <c r="R240" s="808"/>
      <c r="S240" s="808"/>
      <c r="T240" s="808"/>
      <c r="U240" s="808"/>
      <c r="V240" s="808"/>
      <c r="W240" s="808"/>
      <c r="X240" s="808"/>
      <c r="Y240" s="808"/>
      <c r="Z240" s="808"/>
      <c r="AA240" s="808"/>
      <c r="AB240" s="808"/>
      <c r="AC240" s="808"/>
      <c r="AD240" s="808"/>
      <c r="AE240" s="808"/>
      <c r="AF240" s="808"/>
      <c r="AG240" s="808"/>
      <c r="AH240" s="808"/>
      <c r="AI240" s="808"/>
      <c r="AJ240" s="808"/>
      <c r="AK240" s="808"/>
      <c r="AL240" s="808"/>
      <c r="AM240" s="808"/>
      <c r="AN240" s="808"/>
      <c r="AO240" s="808"/>
      <c r="AP240" s="808"/>
      <c r="AQ240" s="808"/>
      <c r="AR240" s="808"/>
      <c r="AS240" s="808"/>
      <c r="AT240" s="808"/>
      <c r="AU240" s="808"/>
      <c r="AV240" s="808"/>
      <c r="AW240" s="808"/>
      <c r="AX240" s="808"/>
      <c r="AY240" s="808"/>
      <c r="AZ240" s="808"/>
      <c r="BA240" s="808"/>
      <c r="BB240" s="808"/>
      <c r="BC240" s="808"/>
      <c r="BD240" s="808"/>
      <c r="BE240" s="808"/>
      <c r="BF240" s="808"/>
      <c r="BG240" s="808"/>
      <c r="BH240" s="808"/>
      <c r="BI240" s="808"/>
      <c r="BJ240" s="808"/>
      <c r="BK240" s="808"/>
      <c r="BL240" s="808"/>
      <c r="BM240" s="808"/>
      <c r="BN240" s="808"/>
      <c r="BO240" s="808"/>
      <c r="BP240" s="808"/>
      <c r="BQ240" s="808"/>
      <c r="BR240" s="808"/>
      <c r="BS240" s="808"/>
      <c r="BT240" s="808"/>
      <c r="BU240" s="808"/>
      <c r="BV240" s="808"/>
      <c r="BW240" s="808"/>
      <c r="BX240" s="808"/>
      <c r="BY240" s="808"/>
      <c r="BZ240" s="808"/>
      <c r="CA240" s="808"/>
      <c r="CB240" s="808"/>
      <c r="CC240" s="808"/>
      <c r="CD240" s="808"/>
      <c r="CE240" s="808"/>
      <c r="CF240" s="808"/>
      <c r="CG240" s="808"/>
      <c r="CH240" s="808"/>
      <c r="CI240" s="808"/>
      <c r="CJ240" s="808"/>
      <c r="CK240" s="808"/>
      <c r="CL240" s="808"/>
      <c r="CM240" s="808"/>
      <c r="CN240" s="808"/>
      <c r="CO240" s="808"/>
      <c r="CP240" s="808"/>
      <c r="CQ240" s="808"/>
      <c r="CR240" s="808"/>
      <c r="CS240" s="808"/>
      <c r="CT240" s="808"/>
      <c r="CU240" s="808"/>
      <c r="CV240" s="808"/>
      <c r="CW240" s="808"/>
      <c r="CX240" s="808"/>
      <c r="CY240" s="808"/>
      <c r="CZ240" s="808"/>
      <c r="DA240" s="808"/>
      <c r="DB240" s="808"/>
      <c r="DC240" s="808"/>
      <c r="DD240" s="808"/>
      <c r="DE240" s="808"/>
      <c r="DF240" s="808"/>
      <c r="DG240" s="808"/>
      <c r="DH240" s="808"/>
      <c r="DI240" s="808"/>
      <c r="DJ240" s="808"/>
      <c r="DK240" s="808"/>
      <c r="DL240" s="808"/>
      <c r="DM240" s="808"/>
      <c r="DN240" s="808"/>
      <c r="DO240" s="808"/>
      <c r="DP240" s="808"/>
    </row>
    <row r="241" spans="1:120" ht="26.4" hidden="1">
      <c r="A241" s="821"/>
      <c r="B241" s="813" t="s">
        <v>950</v>
      </c>
      <c r="C241" s="814" t="s">
        <v>1308</v>
      </c>
      <c r="D241" s="815">
        <v>0</v>
      </c>
      <c r="E241" s="815">
        <v>0</v>
      </c>
      <c r="F241" s="815">
        <v>0</v>
      </c>
      <c r="G241" s="815">
        <v>0</v>
      </c>
      <c r="K241" s="808"/>
      <c r="M241" s="808"/>
      <c r="N241" s="808"/>
      <c r="O241" s="808"/>
      <c r="P241" s="808"/>
      <c r="Q241" s="808"/>
      <c r="R241" s="808"/>
      <c r="S241" s="808"/>
      <c r="T241" s="808"/>
      <c r="U241" s="808"/>
      <c r="V241" s="808"/>
      <c r="W241" s="808"/>
      <c r="X241" s="808"/>
      <c r="Y241" s="808"/>
      <c r="Z241" s="808"/>
      <c r="AA241" s="808"/>
      <c r="AB241" s="808"/>
      <c r="AC241" s="808"/>
      <c r="AD241" s="808"/>
      <c r="AE241" s="808"/>
      <c r="AF241" s="808"/>
      <c r="AG241" s="808"/>
      <c r="AH241" s="808"/>
      <c r="AI241" s="808"/>
      <c r="AJ241" s="808"/>
      <c r="AK241" s="808"/>
      <c r="AL241" s="808"/>
      <c r="AM241" s="808"/>
      <c r="AN241" s="808"/>
      <c r="AO241" s="808"/>
      <c r="AP241" s="808"/>
      <c r="AQ241" s="808"/>
      <c r="AR241" s="808"/>
      <c r="AS241" s="808"/>
      <c r="AT241" s="808"/>
      <c r="AU241" s="808"/>
      <c r="AV241" s="808"/>
      <c r="AW241" s="808"/>
      <c r="AX241" s="808"/>
      <c r="AY241" s="808"/>
      <c r="AZ241" s="808"/>
      <c r="BA241" s="808"/>
      <c r="BB241" s="808"/>
      <c r="BC241" s="808"/>
      <c r="BD241" s="808"/>
      <c r="BE241" s="808"/>
      <c r="BF241" s="808"/>
      <c r="BG241" s="808"/>
      <c r="BH241" s="808"/>
      <c r="BI241" s="808"/>
      <c r="BJ241" s="808"/>
      <c r="BK241" s="808"/>
      <c r="BL241" s="808"/>
      <c r="BM241" s="808"/>
      <c r="BN241" s="808"/>
      <c r="BO241" s="808"/>
      <c r="BP241" s="808"/>
      <c r="BQ241" s="808"/>
      <c r="BR241" s="808"/>
      <c r="BS241" s="808"/>
      <c r="BT241" s="808"/>
      <c r="BU241" s="808"/>
      <c r="BV241" s="808"/>
      <c r="BW241" s="808"/>
      <c r="BX241" s="808"/>
      <c r="BY241" s="808"/>
      <c r="BZ241" s="808"/>
      <c r="CA241" s="808"/>
      <c r="CB241" s="808"/>
      <c r="CC241" s="808"/>
      <c r="CD241" s="808"/>
      <c r="CE241" s="808"/>
      <c r="CF241" s="808"/>
      <c r="CG241" s="808"/>
      <c r="CH241" s="808"/>
      <c r="CI241" s="808"/>
      <c r="CJ241" s="808"/>
      <c r="CK241" s="808"/>
      <c r="CL241" s="808"/>
      <c r="CM241" s="808"/>
      <c r="CN241" s="808"/>
      <c r="CO241" s="808"/>
      <c r="CP241" s="808"/>
      <c r="CQ241" s="808"/>
      <c r="CR241" s="808"/>
      <c r="CS241" s="808"/>
      <c r="CT241" s="808"/>
      <c r="CU241" s="808"/>
      <c r="CV241" s="808"/>
      <c r="CW241" s="808"/>
      <c r="CX241" s="808"/>
      <c r="CY241" s="808"/>
      <c r="CZ241" s="808"/>
      <c r="DA241" s="808"/>
      <c r="DB241" s="808"/>
      <c r="DC241" s="808"/>
      <c r="DD241" s="808"/>
      <c r="DE241" s="808"/>
      <c r="DF241" s="808"/>
      <c r="DG241" s="808"/>
      <c r="DH241" s="808"/>
      <c r="DI241" s="808"/>
      <c r="DJ241" s="808"/>
      <c r="DK241" s="808"/>
      <c r="DL241" s="808"/>
      <c r="DM241" s="808"/>
      <c r="DN241" s="808"/>
      <c r="DO241" s="808"/>
      <c r="DP241" s="808"/>
    </row>
    <row r="242" spans="1:120" hidden="1">
      <c r="A242" s="821"/>
      <c r="B242" s="813" t="s">
        <v>950</v>
      </c>
      <c r="C242" s="814" t="s">
        <v>231</v>
      </c>
      <c r="D242" s="815">
        <v>0</v>
      </c>
      <c r="E242" s="815">
        <v>0</v>
      </c>
      <c r="F242" s="815">
        <v>0</v>
      </c>
      <c r="G242" s="815">
        <v>0</v>
      </c>
      <c r="K242" s="808"/>
      <c r="M242" s="808"/>
      <c r="N242" s="808"/>
      <c r="O242" s="808"/>
      <c r="P242" s="808"/>
      <c r="Q242" s="808"/>
      <c r="R242" s="808"/>
      <c r="S242" s="808"/>
      <c r="T242" s="808"/>
      <c r="U242" s="808"/>
      <c r="V242" s="808"/>
      <c r="W242" s="808"/>
      <c r="X242" s="808"/>
      <c r="Y242" s="808"/>
      <c r="Z242" s="808"/>
      <c r="AA242" s="808"/>
      <c r="AB242" s="808"/>
      <c r="AC242" s="808"/>
      <c r="AD242" s="808"/>
      <c r="AE242" s="808"/>
      <c r="AF242" s="808"/>
      <c r="AG242" s="808"/>
      <c r="AH242" s="808"/>
      <c r="AI242" s="808"/>
      <c r="AJ242" s="808"/>
      <c r="AK242" s="808"/>
      <c r="AL242" s="808"/>
      <c r="AM242" s="808"/>
      <c r="AN242" s="808"/>
      <c r="AO242" s="808"/>
      <c r="AP242" s="808"/>
      <c r="AQ242" s="808"/>
      <c r="AR242" s="808"/>
      <c r="AS242" s="808"/>
      <c r="AT242" s="808"/>
      <c r="AU242" s="808"/>
      <c r="AV242" s="808"/>
      <c r="AW242" s="808"/>
      <c r="AX242" s="808"/>
      <c r="AY242" s="808"/>
      <c r="AZ242" s="808"/>
      <c r="BA242" s="808"/>
      <c r="BB242" s="808"/>
      <c r="BC242" s="808"/>
      <c r="BD242" s="808"/>
      <c r="BE242" s="808"/>
      <c r="BF242" s="808"/>
      <c r="BG242" s="808"/>
      <c r="BH242" s="808"/>
      <c r="BI242" s="808"/>
      <c r="BJ242" s="808"/>
      <c r="BK242" s="808"/>
      <c r="BL242" s="808"/>
      <c r="BM242" s="808"/>
      <c r="BN242" s="808"/>
      <c r="BO242" s="808"/>
      <c r="BP242" s="808"/>
      <c r="BQ242" s="808"/>
      <c r="BR242" s="808"/>
      <c r="BS242" s="808"/>
      <c r="BT242" s="808"/>
      <c r="BU242" s="808"/>
      <c r="BV242" s="808"/>
      <c r="BW242" s="808"/>
      <c r="BX242" s="808"/>
      <c r="BY242" s="808"/>
      <c r="BZ242" s="808"/>
      <c r="CA242" s="808"/>
      <c r="CB242" s="808"/>
      <c r="CC242" s="808"/>
      <c r="CD242" s="808"/>
      <c r="CE242" s="808"/>
      <c r="CF242" s="808"/>
      <c r="CG242" s="808"/>
      <c r="CH242" s="808"/>
      <c r="CI242" s="808"/>
      <c r="CJ242" s="808"/>
      <c r="CK242" s="808"/>
      <c r="CL242" s="808"/>
      <c r="CM242" s="808"/>
      <c r="CN242" s="808"/>
      <c r="CO242" s="808"/>
      <c r="CP242" s="808"/>
      <c r="CQ242" s="808"/>
      <c r="CR242" s="808"/>
      <c r="CS242" s="808"/>
      <c r="CT242" s="808"/>
      <c r="CU242" s="808"/>
      <c r="CV242" s="808"/>
      <c r="CW242" s="808"/>
      <c r="CX242" s="808"/>
      <c r="CY242" s="808"/>
      <c r="CZ242" s="808"/>
      <c r="DA242" s="808"/>
      <c r="DB242" s="808"/>
      <c r="DC242" s="808"/>
      <c r="DD242" s="808"/>
      <c r="DE242" s="808"/>
      <c r="DF242" s="808"/>
      <c r="DG242" s="808"/>
      <c r="DH242" s="808"/>
      <c r="DI242" s="808"/>
      <c r="DJ242" s="808"/>
      <c r="DK242" s="808"/>
      <c r="DL242" s="808"/>
      <c r="DM242" s="808"/>
      <c r="DN242" s="808"/>
      <c r="DO242" s="808"/>
      <c r="DP242" s="808"/>
    </row>
    <row r="243" spans="1:120" hidden="1">
      <c r="A243" s="821"/>
      <c r="B243" s="813" t="s">
        <v>950</v>
      </c>
      <c r="C243" s="816" t="s">
        <v>82</v>
      </c>
      <c r="D243" s="815">
        <v>0</v>
      </c>
      <c r="E243" s="815">
        <v>0</v>
      </c>
      <c r="F243" s="815">
        <v>0</v>
      </c>
      <c r="G243" s="815">
        <v>0</v>
      </c>
      <c r="K243" s="808"/>
      <c r="M243" s="808"/>
      <c r="N243" s="808"/>
      <c r="O243" s="808"/>
      <c r="P243" s="808"/>
      <c r="Q243" s="808"/>
      <c r="R243" s="808"/>
      <c r="S243" s="808"/>
      <c r="T243" s="808"/>
      <c r="U243" s="808"/>
      <c r="V243" s="808"/>
      <c r="W243" s="808"/>
      <c r="X243" s="808"/>
      <c r="Y243" s="808"/>
      <c r="Z243" s="808"/>
      <c r="AA243" s="808"/>
      <c r="AB243" s="808"/>
      <c r="AC243" s="808"/>
      <c r="AD243" s="808"/>
      <c r="AE243" s="808"/>
      <c r="AF243" s="808"/>
      <c r="AG243" s="808"/>
      <c r="AH243" s="808"/>
      <c r="AI243" s="808"/>
      <c r="AJ243" s="808"/>
      <c r="AK243" s="808"/>
      <c r="AL243" s="808"/>
      <c r="AM243" s="808"/>
      <c r="AN243" s="808"/>
      <c r="AO243" s="808"/>
      <c r="AP243" s="808"/>
      <c r="AQ243" s="808"/>
      <c r="AR243" s="808"/>
      <c r="AS243" s="808"/>
      <c r="AT243" s="808"/>
      <c r="AU243" s="808"/>
      <c r="AV243" s="808"/>
      <c r="AW243" s="808"/>
      <c r="AX243" s="808"/>
      <c r="AY243" s="808"/>
      <c r="AZ243" s="808"/>
      <c r="BA243" s="808"/>
      <c r="BB243" s="808"/>
      <c r="BC243" s="808"/>
      <c r="BD243" s="808"/>
      <c r="BE243" s="808"/>
      <c r="BF243" s="808"/>
      <c r="BG243" s="808"/>
      <c r="BH243" s="808"/>
      <c r="BI243" s="808"/>
      <c r="BJ243" s="808"/>
      <c r="BK243" s="808"/>
      <c r="BL243" s="808"/>
      <c r="BM243" s="808"/>
      <c r="BN243" s="808"/>
      <c r="BO243" s="808"/>
      <c r="BP243" s="808"/>
      <c r="BQ243" s="808"/>
      <c r="BR243" s="808"/>
      <c r="BS243" s="808"/>
      <c r="BT243" s="808"/>
      <c r="BU243" s="808"/>
      <c r="BV243" s="808"/>
      <c r="BW243" s="808"/>
      <c r="BX243" s="808"/>
      <c r="BY243" s="808"/>
      <c r="BZ243" s="808"/>
      <c r="CA243" s="808"/>
      <c r="CB243" s="808"/>
      <c r="CC243" s="808"/>
      <c r="CD243" s="808"/>
      <c r="CE243" s="808"/>
      <c r="CF243" s="808"/>
      <c r="CG243" s="808"/>
      <c r="CH243" s="808"/>
      <c r="CI243" s="808"/>
      <c r="CJ243" s="808"/>
      <c r="CK243" s="808"/>
      <c r="CL243" s="808"/>
      <c r="CM243" s="808"/>
      <c r="CN243" s="808"/>
      <c r="CO243" s="808"/>
      <c r="CP243" s="808"/>
      <c r="CQ243" s="808"/>
      <c r="CR243" s="808"/>
      <c r="CS243" s="808"/>
      <c r="CT243" s="808"/>
      <c r="CU243" s="808"/>
      <c r="CV243" s="808"/>
      <c r="CW243" s="808"/>
      <c r="CX243" s="808"/>
      <c r="CY243" s="808"/>
      <c r="CZ243" s="808"/>
      <c r="DA243" s="808"/>
      <c r="DB243" s="808"/>
      <c r="DC243" s="808"/>
      <c r="DD243" s="808"/>
      <c r="DE243" s="808"/>
      <c r="DF243" s="808"/>
      <c r="DG243" s="808"/>
      <c r="DH243" s="808"/>
      <c r="DI243" s="808"/>
      <c r="DJ243" s="808"/>
      <c r="DK243" s="808"/>
      <c r="DL243" s="808"/>
      <c r="DM243" s="808"/>
      <c r="DN243" s="808"/>
      <c r="DO243" s="808"/>
      <c r="DP243" s="808"/>
    </row>
    <row r="244" spans="1:120">
      <c r="A244" s="821" t="s">
        <v>1201</v>
      </c>
      <c r="B244" s="807" t="s">
        <v>1201</v>
      </c>
      <c r="C244" s="808" t="s">
        <v>1201</v>
      </c>
      <c r="D244" s="214" t="s">
        <v>1201</v>
      </c>
      <c r="K244" s="808"/>
      <c r="M244" s="808"/>
      <c r="N244" s="808"/>
      <c r="O244" s="808"/>
      <c r="P244" s="808"/>
      <c r="Q244" s="808"/>
      <c r="R244" s="808"/>
      <c r="S244" s="808"/>
      <c r="T244" s="808"/>
      <c r="U244" s="808"/>
      <c r="V244" s="808"/>
      <c r="W244" s="808"/>
      <c r="X244" s="808"/>
      <c r="Y244" s="808"/>
      <c r="Z244" s="808"/>
      <c r="AA244" s="808"/>
      <c r="AB244" s="808"/>
      <c r="AC244" s="808"/>
      <c r="AD244" s="808"/>
      <c r="AE244" s="808"/>
      <c r="AF244" s="808"/>
      <c r="AG244" s="808"/>
      <c r="AH244" s="808"/>
      <c r="AI244" s="808"/>
      <c r="AJ244" s="808"/>
      <c r="AK244" s="808"/>
      <c r="AL244" s="808"/>
      <c r="AM244" s="808"/>
      <c r="AN244" s="808"/>
      <c r="AO244" s="808"/>
      <c r="AP244" s="808"/>
      <c r="AQ244" s="808"/>
      <c r="AR244" s="808"/>
      <c r="AS244" s="808"/>
      <c r="AT244" s="808"/>
      <c r="AU244" s="808"/>
      <c r="AV244" s="808"/>
      <c r="AW244" s="808"/>
      <c r="AX244" s="808"/>
      <c r="AY244" s="808"/>
      <c r="AZ244" s="808"/>
      <c r="BA244" s="808"/>
      <c r="BB244" s="808"/>
      <c r="BC244" s="808"/>
      <c r="BD244" s="808"/>
      <c r="BE244" s="808"/>
      <c r="BF244" s="808"/>
      <c r="BG244" s="808"/>
      <c r="BH244" s="808"/>
      <c r="BI244" s="808"/>
      <c r="BJ244" s="808"/>
      <c r="BK244" s="808"/>
      <c r="BL244" s="808"/>
      <c r="BM244" s="808"/>
      <c r="BN244" s="808"/>
      <c r="BO244" s="808"/>
      <c r="BP244" s="984"/>
      <c r="BQ244" s="984"/>
      <c r="BR244" s="984"/>
      <c r="BS244" s="984"/>
      <c r="BT244" s="984"/>
      <c r="BU244" s="984"/>
      <c r="BV244" s="984"/>
      <c r="BW244" s="984"/>
      <c r="BX244" s="984"/>
      <c r="BY244" s="984"/>
      <c r="BZ244" s="984"/>
      <c r="CA244" s="984"/>
      <c r="CB244" s="984"/>
      <c r="CC244" s="984"/>
      <c r="CD244" s="984"/>
      <c r="CE244" s="984"/>
      <c r="CF244" s="984"/>
      <c r="CG244" s="984"/>
      <c r="CH244" s="984"/>
      <c r="CI244" s="984"/>
      <c r="CJ244" s="984"/>
      <c r="CK244" s="984"/>
      <c r="CL244" s="984"/>
      <c r="CM244" s="984"/>
      <c r="CN244" s="984"/>
      <c r="CO244" s="984"/>
      <c r="CP244" s="984"/>
      <c r="CQ244" s="984"/>
      <c r="CR244" s="984"/>
      <c r="CS244" s="984"/>
      <c r="CT244" s="984"/>
      <c r="CU244" s="984"/>
      <c r="CV244" s="984"/>
      <c r="CW244" s="984"/>
      <c r="CX244" s="984"/>
      <c r="CY244" s="984"/>
      <c r="CZ244" s="984"/>
      <c r="DA244" s="984"/>
      <c r="DB244" s="984"/>
      <c r="DC244" s="984"/>
      <c r="DD244" s="984"/>
      <c r="DE244" s="984"/>
      <c r="DF244" s="984"/>
      <c r="DG244" s="984"/>
      <c r="DH244" s="984"/>
      <c r="DI244" s="984"/>
      <c r="DJ244" s="984"/>
      <c r="DK244" s="984"/>
      <c r="DL244" s="984"/>
      <c r="DM244" s="984"/>
      <c r="DN244" s="984"/>
      <c r="DO244" s="984"/>
      <c r="DP244" s="984"/>
    </row>
    <row r="245" spans="1:120">
      <c r="A245" s="821"/>
      <c r="B245" s="809" t="s">
        <v>1309</v>
      </c>
      <c r="C245" s="808"/>
      <c r="K245" s="808"/>
      <c r="M245" s="808"/>
      <c r="N245" s="808"/>
      <c r="O245" s="808"/>
      <c r="P245" s="808"/>
      <c r="Q245" s="808"/>
      <c r="R245" s="808"/>
      <c r="S245" s="808"/>
      <c r="T245" s="808"/>
      <c r="U245" s="808"/>
      <c r="V245" s="808"/>
      <c r="W245" s="808"/>
      <c r="X245" s="808"/>
      <c r="Y245" s="808"/>
      <c r="Z245" s="808"/>
      <c r="AA245" s="808"/>
      <c r="AB245" s="808"/>
      <c r="AC245" s="808"/>
      <c r="AD245" s="808"/>
      <c r="AE245" s="808"/>
      <c r="AF245" s="808"/>
      <c r="AG245" s="808"/>
      <c r="AH245" s="808"/>
      <c r="AI245" s="808"/>
      <c r="AJ245" s="808"/>
      <c r="AK245" s="808"/>
      <c r="AL245" s="808"/>
      <c r="AM245" s="808"/>
      <c r="AN245" s="808"/>
      <c r="AO245" s="808"/>
      <c r="AP245" s="808"/>
      <c r="AQ245" s="808"/>
      <c r="AR245" s="808"/>
      <c r="AS245" s="808"/>
      <c r="AT245" s="808"/>
      <c r="AU245" s="808"/>
      <c r="AV245" s="808"/>
      <c r="AW245" s="808"/>
      <c r="AX245" s="808"/>
      <c r="AY245" s="808"/>
      <c r="AZ245" s="808"/>
      <c r="BA245" s="808"/>
      <c r="BB245" s="808"/>
      <c r="BC245" s="808"/>
      <c r="BD245" s="808"/>
      <c r="BE245" s="808"/>
      <c r="BF245" s="808"/>
      <c r="BG245" s="808"/>
      <c r="BH245" s="808"/>
      <c r="BI245" s="808"/>
      <c r="BJ245" s="808"/>
      <c r="BK245" s="808"/>
      <c r="BL245" s="808"/>
      <c r="BM245" s="808"/>
      <c r="BN245" s="808"/>
      <c r="BO245" s="808"/>
      <c r="BP245" s="808"/>
      <c r="BQ245" s="808"/>
      <c r="BR245" s="808"/>
      <c r="BS245" s="808"/>
      <c r="BT245" s="808"/>
      <c r="BU245" s="808"/>
      <c r="BV245" s="808"/>
      <c r="BW245" s="808"/>
      <c r="BX245" s="808"/>
      <c r="BY245" s="808"/>
      <c r="BZ245" s="808"/>
      <c r="CA245" s="808"/>
      <c r="CB245" s="808"/>
      <c r="CC245" s="808"/>
      <c r="CD245" s="808"/>
      <c r="CE245" s="808"/>
      <c r="CF245" s="808"/>
      <c r="CG245" s="808"/>
      <c r="CH245" s="808"/>
      <c r="CI245" s="808"/>
      <c r="CJ245" s="808"/>
      <c r="CK245" s="808"/>
      <c r="CL245" s="808"/>
      <c r="CM245" s="808"/>
      <c r="CN245" s="808"/>
      <c r="CO245" s="808"/>
      <c r="CP245" s="808"/>
      <c r="CQ245" s="808"/>
      <c r="CR245" s="808"/>
      <c r="CS245" s="808"/>
      <c r="CT245" s="808"/>
      <c r="CU245" s="808"/>
      <c r="CV245" s="808"/>
      <c r="CW245" s="808"/>
      <c r="CX245" s="808"/>
      <c r="CY245" s="808"/>
      <c r="CZ245" s="808"/>
      <c r="DA245" s="808"/>
      <c r="DB245" s="808"/>
      <c r="DC245" s="808"/>
      <c r="DD245" s="808"/>
      <c r="DE245" s="808"/>
      <c r="DF245" s="808"/>
      <c r="DG245" s="808"/>
      <c r="DH245" s="808"/>
      <c r="DI245" s="808"/>
      <c r="DJ245" s="808"/>
      <c r="DK245" s="808"/>
      <c r="DL245" s="808"/>
      <c r="DM245" s="808"/>
      <c r="DN245" s="808"/>
      <c r="DO245" s="808"/>
      <c r="DP245" s="808"/>
    </row>
    <row r="246" spans="1:120">
      <c r="A246" s="821"/>
      <c r="B246" s="809" t="s">
        <v>56</v>
      </c>
      <c r="C246" s="808"/>
      <c r="K246" s="808"/>
      <c r="M246" s="808"/>
      <c r="N246" s="808"/>
      <c r="O246" s="808"/>
      <c r="P246" s="808"/>
      <c r="Q246" s="808"/>
      <c r="R246" s="808"/>
      <c r="S246" s="808"/>
      <c r="T246" s="808"/>
      <c r="U246" s="808"/>
      <c r="V246" s="808"/>
      <c r="W246" s="808"/>
      <c r="X246" s="808"/>
      <c r="Y246" s="808"/>
      <c r="Z246" s="808"/>
      <c r="AA246" s="808"/>
      <c r="AB246" s="808"/>
      <c r="AC246" s="808"/>
      <c r="AD246" s="808"/>
      <c r="AE246" s="808"/>
      <c r="AF246" s="808"/>
      <c r="AG246" s="808"/>
      <c r="AH246" s="808"/>
      <c r="AI246" s="808"/>
      <c r="AJ246" s="808"/>
      <c r="AK246" s="808"/>
      <c r="AL246" s="808"/>
      <c r="AM246" s="808"/>
      <c r="AN246" s="808"/>
      <c r="AO246" s="808"/>
      <c r="AP246" s="808"/>
      <c r="AQ246" s="808"/>
      <c r="AR246" s="808"/>
      <c r="AS246" s="808"/>
      <c r="AT246" s="808"/>
      <c r="AU246" s="808"/>
      <c r="AV246" s="808"/>
      <c r="AW246" s="808"/>
      <c r="AX246" s="808"/>
      <c r="AY246" s="808"/>
      <c r="AZ246" s="808"/>
      <c r="BA246" s="808"/>
      <c r="BB246" s="808"/>
      <c r="BC246" s="808"/>
      <c r="BD246" s="808"/>
      <c r="BE246" s="808"/>
      <c r="BF246" s="808"/>
      <c r="BG246" s="808"/>
      <c r="BH246" s="808"/>
      <c r="BI246" s="808"/>
      <c r="BJ246" s="808"/>
      <c r="BK246" s="808"/>
      <c r="BL246" s="808"/>
      <c r="BM246" s="808"/>
      <c r="BN246" s="808"/>
      <c r="BO246" s="808"/>
      <c r="BP246" s="808"/>
      <c r="BQ246" s="808"/>
      <c r="BR246" s="808"/>
      <c r="BS246" s="808"/>
      <c r="BT246" s="808"/>
      <c r="BU246" s="808"/>
      <c r="BV246" s="808"/>
      <c r="BW246" s="808"/>
      <c r="BX246" s="808"/>
      <c r="BY246" s="808"/>
      <c r="BZ246" s="808"/>
      <c r="CA246" s="808"/>
      <c r="CB246" s="808"/>
      <c r="CC246" s="808"/>
      <c r="CD246" s="808"/>
      <c r="CE246" s="808"/>
      <c r="CF246" s="808"/>
      <c r="CG246" s="808"/>
      <c r="CH246" s="808"/>
      <c r="CI246" s="808"/>
      <c r="CJ246" s="808"/>
      <c r="CK246" s="808"/>
      <c r="CL246" s="808"/>
      <c r="CM246" s="808"/>
      <c r="CN246" s="808"/>
      <c r="CO246" s="808"/>
      <c r="CP246" s="808"/>
      <c r="CQ246" s="808"/>
      <c r="CR246" s="808"/>
      <c r="CS246" s="808"/>
      <c r="CT246" s="808"/>
      <c r="CU246" s="808"/>
      <c r="CV246" s="808"/>
      <c r="CW246" s="808"/>
      <c r="CX246" s="808"/>
      <c r="CY246" s="808"/>
      <c r="CZ246" s="808"/>
      <c r="DA246" s="808"/>
      <c r="DB246" s="808"/>
      <c r="DC246" s="808"/>
      <c r="DD246" s="808"/>
      <c r="DE246" s="808"/>
      <c r="DF246" s="808"/>
      <c r="DG246" s="808"/>
      <c r="DH246" s="808"/>
      <c r="DI246" s="808"/>
      <c r="DJ246" s="808"/>
      <c r="DK246" s="808"/>
      <c r="DL246" s="808"/>
      <c r="DM246" s="808"/>
      <c r="DN246" s="808"/>
      <c r="DO246" s="808"/>
      <c r="DP246" s="808"/>
    </row>
    <row r="247" spans="1:120">
      <c r="A247" s="821"/>
      <c r="B247" s="817" t="s">
        <v>1201</v>
      </c>
      <c r="C247" s="808"/>
      <c r="K247" s="808"/>
      <c r="M247" s="808"/>
      <c r="N247" s="808"/>
      <c r="O247" s="808"/>
      <c r="P247" s="808"/>
      <c r="Q247" s="808"/>
      <c r="R247" s="808"/>
      <c r="S247" s="808"/>
      <c r="T247" s="808"/>
      <c r="U247" s="808"/>
      <c r="V247" s="808"/>
      <c r="W247" s="808"/>
      <c r="X247" s="808"/>
      <c r="Y247" s="808"/>
      <c r="Z247" s="808"/>
      <c r="AA247" s="808"/>
      <c r="AB247" s="808"/>
      <c r="AC247" s="808"/>
      <c r="AD247" s="808"/>
      <c r="AE247" s="808"/>
      <c r="AF247" s="808"/>
      <c r="AG247" s="808"/>
      <c r="AH247" s="808"/>
      <c r="AI247" s="808"/>
      <c r="AJ247" s="808"/>
      <c r="AK247" s="808"/>
      <c r="AL247" s="808"/>
      <c r="AM247" s="808"/>
      <c r="AN247" s="808"/>
      <c r="AO247" s="808"/>
      <c r="AP247" s="808"/>
      <c r="AQ247" s="808"/>
      <c r="AR247" s="808"/>
      <c r="AS247" s="808"/>
      <c r="AT247" s="808"/>
      <c r="AU247" s="808"/>
      <c r="AV247" s="808"/>
      <c r="AW247" s="808"/>
      <c r="AX247" s="808"/>
      <c r="AY247" s="808"/>
      <c r="AZ247" s="808"/>
      <c r="BA247" s="808"/>
      <c r="BB247" s="808"/>
      <c r="BC247" s="808"/>
      <c r="BD247" s="808"/>
      <c r="BE247" s="808"/>
      <c r="BF247" s="808"/>
      <c r="BG247" s="808"/>
      <c r="BH247" s="808"/>
      <c r="BI247" s="808"/>
      <c r="BJ247" s="808"/>
      <c r="BK247" s="808"/>
      <c r="BL247" s="808"/>
      <c r="BM247" s="808"/>
      <c r="BN247" s="808"/>
      <c r="BO247" s="808"/>
      <c r="BP247" s="808"/>
      <c r="BQ247" s="808"/>
      <c r="BR247" s="808"/>
      <c r="BS247" s="808"/>
      <c r="BT247" s="808"/>
      <c r="BU247" s="808"/>
      <c r="BV247" s="808"/>
      <c r="BW247" s="808"/>
      <c r="BX247" s="808"/>
      <c r="BY247" s="808"/>
      <c r="BZ247" s="808"/>
      <c r="CA247" s="808"/>
      <c r="CB247" s="808"/>
      <c r="CC247" s="808"/>
      <c r="CD247" s="808"/>
      <c r="CE247" s="808"/>
      <c r="CF247" s="808"/>
      <c r="CG247" s="808"/>
      <c r="CH247" s="808"/>
      <c r="CI247" s="808"/>
      <c r="CJ247" s="808"/>
      <c r="CK247" s="808"/>
      <c r="CL247" s="808"/>
      <c r="CM247" s="808"/>
      <c r="CN247" s="808"/>
      <c r="CO247" s="808"/>
      <c r="CP247" s="808"/>
      <c r="CQ247" s="808"/>
      <c r="CR247" s="808"/>
      <c r="CS247" s="808"/>
      <c r="CT247" s="808"/>
      <c r="CU247" s="808"/>
      <c r="CV247" s="808"/>
      <c r="CW247" s="808"/>
      <c r="CX247" s="808"/>
      <c r="CY247" s="808"/>
      <c r="CZ247" s="808"/>
      <c r="DA247" s="808"/>
      <c r="DB247" s="808"/>
      <c r="DC247" s="808"/>
      <c r="DD247" s="808"/>
      <c r="DE247" s="808"/>
      <c r="DF247" s="808"/>
      <c r="DG247" s="808"/>
      <c r="DH247" s="808"/>
      <c r="DI247" s="808"/>
      <c r="DJ247" s="808"/>
      <c r="DK247" s="808"/>
      <c r="DL247" s="808"/>
      <c r="DM247" s="808"/>
      <c r="DN247" s="808"/>
      <c r="DO247" s="808"/>
      <c r="DP247" s="808"/>
    </row>
    <row r="248" spans="1:120">
      <c r="A248" s="821" t="s">
        <v>1201</v>
      </c>
      <c r="B248" s="807" t="s">
        <v>1201</v>
      </c>
      <c r="C248" s="808" t="s">
        <v>1201</v>
      </c>
      <c r="D248" s="214" t="s">
        <v>1201</v>
      </c>
      <c r="K248" s="808"/>
      <c r="M248" s="808"/>
      <c r="N248" s="808"/>
      <c r="O248" s="808"/>
      <c r="P248" s="808"/>
      <c r="Q248" s="808"/>
      <c r="R248" s="808"/>
      <c r="S248" s="808"/>
      <c r="T248" s="808"/>
      <c r="U248" s="808"/>
      <c r="V248" s="808"/>
      <c r="W248" s="808"/>
      <c r="X248" s="808"/>
      <c r="Y248" s="808"/>
      <c r="Z248" s="808"/>
      <c r="AA248" s="808"/>
      <c r="AB248" s="808"/>
      <c r="AC248" s="808"/>
      <c r="AD248" s="808"/>
      <c r="AE248" s="808"/>
      <c r="AF248" s="808"/>
      <c r="AG248" s="808"/>
      <c r="AH248" s="808"/>
      <c r="AI248" s="808"/>
      <c r="AJ248" s="808"/>
      <c r="AK248" s="808"/>
      <c r="AL248" s="808"/>
      <c r="AM248" s="808"/>
      <c r="AN248" s="808"/>
      <c r="AO248" s="808"/>
      <c r="AP248" s="808"/>
      <c r="AQ248" s="808"/>
      <c r="AR248" s="808"/>
      <c r="AS248" s="808"/>
      <c r="AT248" s="808"/>
      <c r="AU248" s="808"/>
      <c r="AV248" s="808"/>
      <c r="AW248" s="808"/>
      <c r="AX248" s="808"/>
      <c r="AY248" s="808"/>
      <c r="AZ248" s="808"/>
      <c r="BA248" s="808"/>
      <c r="BB248" s="808"/>
      <c r="BC248" s="808"/>
      <c r="BD248" s="808"/>
      <c r="BE248" s="808"/>
      <c r="BF248" s="808"/>
      <c r="BG248" s="808"/>
      <c r="BH248" s="808"/>
      <c r="BI248" s="808"/>
      <c r="BJ248" s="808"/>
      <c r="BK248" s="808"/>
      <c r="BL248" s="808"/>
      <c r="BM248" s="808"/>
      <c r="BN248" s="808"/>
      <c r="BO248" s="808"/>
      <c r="BP248" s="984"/>
      <c r="BQ248" s="984"/>
      <c r="BR248" s="984"/>
      <c r="BS248" s="984"/>
      <c r="BT248" s="984"/>
      <c r="BU248" s="984"/>
      <c r="BV248" s="984"/>
      <c r="BW248" s="984"/>
      <c r="BX248" s="984"/>
      <c r="BY248" s="984"/>
      <c r="BZ248" s="984"/>
      <c r="CA248" s="984"/>
      <c r="CB248" s="984"/>
      <c r="CC248" s="984"/>
      <c r="CD248" s="984"/>
      <c r="CE248" s="984"/>
      <c r="CF248" s="984"/>
      <c r="CG248" s="984"/>
      <c r="CH248" s="984"/>
      <c r="CI248" s="984"/>
      <c r="CJ248" s="984"/>
      <c r="CK248" s="984"/>
      <c r="CL248" s="984"/>
      <c r="CM248" s="984"/>
      <c r="CN248" s="984"/>
      <c r="CO248" s="984"/>
      <c r="CP248" s="984"/>
      <c r="CQ248" s="984"/>
      <c r="CR248" s="984"/>
      <c r="CS248" s="984"/>
      <c r="CT248" s="984"/>
      <c r="CU248" s="984"/>
      <c r="CV248" s="984"/>
      <c r="CW248" s="984"/>
      <c r="CX248" s="984"/>
      <c r="CY248" s="984"/>
      <c r="CZ248" s="984"/>
      <c r="DA248" s="984"/>
      <c r="DB248" s="984"/>
      <c r="DC248" s="984"/>
      <c r="DD248" s="984"/>
      <c r="DE248" s="984"/>
      <c r="DF248" s="984"/>
      <c r="DG248" s="984"/>
      <c r="DH248" s="984"/>
      <c r="DI248" s="984"/>
      <c r="DJ248" s="984"/>
      <c r="DK248" s="984"/>
      <c r="DL248" s="984"/>
      <c r="DM248" s="984"/>
      <c r="DN248" s="984"/>
      <c r="DO248" s="984"/>
      <c r="DP248" s="984"/>
    </row>
    <row r="249" spans="1:120">
      <c r="A249" s="821"/>
      <c r="B249" s="809"/>
      <c r="C249" s="809" t="s">
        <v>1310</v>
      </c>
      <c r="K249" s="808"/>
      <c r="M249" s="808"/>
      <c r="N249" s="808"/>
      <c r="O249" s="808"/>
      <c r="P249" s="808"/>
      <c r="Q249" s="808"/>
      <c r="R249" s="808"/>
      <c r="S249" s="808"/>
      <c r="T249" s="808"/>
      <c r="U249" s="808"/>
      <c r="V249" s="808"/>
      <c r="W249" s="808"/>
      <c r="X249" s="808"/>
      <c r="Y249" s="808"/>
      <c r="Z249" s="808"/>
      <c r="AA249" s="808"/>
      <c r="AB249" s="808"/>
      <c r="AC249" s="808"/>
      <c r="AD249" s="808"/>
      <c r="AE249" s="808"/>
      <c r="AF249" s="808"/>
      <c r="AG249" s="808"/>
      <c r="AH249" s="808"/>
      <c r="AI249" s="808"/>
      <c r="AJ249" s="808"/>
      <c r="AK249" s="808"/>
      <c r="AL249" s="808"/>
      <c r="AM249" s="808"/>
      <c r="AN249" s="808"/>
      <c r="AO249" s="808"/>
      <c r="AP249" s="808"/>
      <c r="AQ249" s="808"/>
      <c r="AR249" s="808"/>
      <c r="AS249" s="808"/>
      <c r="AT249" s="808"/>
      <c r="AU249" s="808"/>
      <c r="AV249" s="808"/>
      <c r="AW249" s="808"/>
      <c r="AX249" s="808"/>
      <c r="AY249" s="808"/>
      <c r="AZ249" s="808"/>
      <c r="BA249" s="808"/>
      <c r="BB249" s="808"/>
      <c r="BC249" s="808"/>
      <c r="BD249" s="808"/>
      <c r="BE249" s="808"/>
      <c r="BF249" s="808"/>
      <c r="BG249" s="808"/>
      <c r="BH249" s="808"/>
      <c r="BI249" s="808"/>
      <c r="BJ249" s="808"/>
      <c r="BK249" s="808"/>
      <c r="BL249" s="808"/>
      <c r="BM249" s="808"/>
      <c r="BN249" s="808"/>
      <c r="BO249" s="808"/>
      <c r="BP249" s="808"/>
      <c r="BQ249" s="808"/>
      <c r="BR249" s="808"/>
      <c r="BS249" s="808"/>
      <c r="BT249" s="808"/>
      <c r="BU249" s="808"/>
      <c r="BV249" s="808"/>
      <c r="BW249" s="808"/>
      <c r="BX249" s="808"/>
      <c r="BY249" s="808"/>
      <c r="BZ249" s="808"/>
      <c r="CA249" s="808"/>
      <c r="CB249" s="808"/>
      <c r="CC249" s="808"/>
      <c r="CD249" s="808"/>
      <c r="CE249" s="808"/>
      <c r="CF249" s="808"/>
      <c r="CG249" s="808"/>
      <c r="CH249" s="808"/>
      <c r="CI249" s="808"/>
      <c r="CJ249" s="808"/>
      <c r="CK249" s="808"/>
      <c r="CL249" s="808"/>
      <c r="CM249" s="808"/>
      <c r="CN249" s="808"/>
      <c r="CO249" s="808"/>
      <c r="CP249" s="808"/>
      <c r="CQ249" s="808"/>
      <c r="CR249" s="808"/>
      <c r="CS249" s="808"/>
      <c r="CT249" s="808"/>
      <c r="CU249" s="808"/>
      <c r="CV249" s="808"/>
      <c r="CW249" s="808"/>
      <c r="CX249" s="808"/>
      <c r="CY249" s="808"/>
      <c r="CZ249" s="808"/>
      <c r="DA249" s="808"/>
      <c r="DB249" s="808"/>
      <c r="DC249" s="808"/>
      <c r="DD249" s="808"/>
      <c r="DE249" s="808"/>
      <c r="DF249" s="808"/>
      <c r="DG249" s="808"/>
      <c r="DH249" s="808"/>
      <c r="DI249" s="808"/>
      <c r="DJ249" s="808"/>
      <c r="DK249" s="808"/>
      <c r="DL249" s="808"/>
      <c r="DM249" s="808"/>
      <c r="DN249" s="808"/>
      <c r="DO249" s="808"/>
      <c r="DP249" s="808"/>
    </row>
    <row r="250" spans="1:120">
      <c r="A250" s="821"/>
      <c r="B250" s="807"/>
      <c r="C250" s="808"/>
      <c r="E250" s="810" t="s">
        <v>1203</v>
      </c>
      <c r="K250" s="808"/>
      <c r="M250" s="808"/>
      <c r="N250" s="808"/>
      <c r="O250" s="808"/>
      <c r="P250" s="808"/>
      <c r="Q250" s="808"/>
      <c r="R250" s="808"/>
      <c r="S250" s="808"/>
      <c r="T250" s="808"/>
      <c r="U250" s="808"/>
      <c r="V250" s="808"/>
      <c r="W250" s="808"/>
      <c r="X250" s="808"/>
      <c r="Y250" s="808"/>
      <c r="Z250" s="808"/>
      <c r="AA250" s="808"/>
      <c r="AB250" s="808"/>
      <c r="AC250" s="808"/>
      <c r="AD250" s="808"/>
      <c r="AE250" s="808"/>
      <c r="AF250" s="808"/>
      <c r="AG250" s="808"/>
      <c r="AH250" s="808"/>
      <c r="AI250" s="808"/>
      <c r="AJ250" s="808"/>
      <c r="AK250" s="808"/>
      <c r="AL250" s="808"/>
      <c r="AM250" s="808"/>
      <c r="AN250" s="808"/>
      <c r="AO250" s="808"/>
      <c r="AP250" s="808"/>
      <c r="AQ250" s="808"/>
      <c r="AR250" s="808"/>
      <c r="AS250" s="808"/>
      <c r="AT250" s="808"/>
      <c r="AU250" s="808"/>
      <c r="AV250" s="808"/>
      <c r="AW250" s="808"/>
      <c r="AX250" s="808"/>
      <c r="AY250" s="808"/>
      <c r="AZ250" s="808"/>
      <c r="BA250" s="808"/>
      <c r="BB250" s="808"/>
      <c r="BC250" s="808"/>
      <c r="BD250" s="808"/>
      <c r="BE250" s="808"/>
      <c r="BF250" s="808"/>
      <c r="BG250" s="808"/>
      <c r="BH250" s="808"/>
      <c r="BI250" s="808"/>
      <c r="BJ250" s="808"/>
      <c r="BK250" s="808"/>
      <c r="BL250" s="808"/>
      <c r="BM250" s="808"/>
      <c r="BN250" s="808"/>
      <c r="BO250" s="808"/>
      <c r="BP250" s="808"/>
      <c r="BQ250" s="808"/>
      <c r="BR250" s="808"/>
      <c r="BS250" s="808"/>
      <c r="BT250" s="808"/>
      <c r="BU250" s="808"/>
      <c r="BV250" s="808"/>
      <c r="BW250" s="808"/>
      <c r="BX250" s="808"/>
      <c r="BY250" s="808"/>
      <c r="BZ250" s="808"/>
      <c r="CA250" s="808"/>
      <c r="CB250" s="808"/>
      <c r="CC250" s="808"/>
      <c r="CD250" s="808"/>
      <c r="CE250" s="808"/>
      <c r="CF250" s="808"/>
      <c r="CG250" s="808"/>
      <c r="CH250" s="808"/>
      <c r="CI250" s="808"/>
      <c r="CJ250" s="808"/>
      <c r="CK250" s="808"/>
      <c r="CL250" s="808"/>
      <c r="CM250" s="808"/>
      <c r="CN250" s="808"/>
      <c r="CO250" s="808"/>
      <c r="CP250" s="808"/>
      <c r="CQ250" s="808"/>
      <c r="CR250" s="808"/>
      <c r="CS250" s="808"/>
      <c r="CT250" s="808"/>
      <c r="CU250" s="808"/>
      <c r="CV250" s="808"/>
      <c r="CW250" s="808"/>
      <c r="CX250" s="808"/>
      <c r="CY250" s="808"/>
      <c r="CZ250" s="808"/>
      <c r="DA250" s="808"/>
      <c r="DB250" s="808"/>
      <c r="DC250" s="808"/>
      <c r="DD250" s="808"/>
      <c r="DE250" s="808"/>
      <c r="DF250" s="808"/>
      <c r="DG250" s="808"/>
      <c r="DH250" s="808"/>
      <c r="DI250" s="808"/>
      <c r="DJ250" s="808"/>
      <c r="DK250" s="808"/>
      <c r="DL250" s="808"/>
      <c r="DM250" s="808"/>
      <c r="DN250" s="808"/>
      <c r="DO250" s="808"/>
      <c r="DP250" s="808"/>
    </row>
    <row r="251" spans="1:120">
      <c r="A251" s="821"/>
      <c r="B251" s="811" t="s">
        <v>79</v>
      </c>
      <c r="C251" s="811" t="s">
        <v>5</v>
      </c>
      <c r="D251" s="812" t="s">
        <v>195</v>
      </c>
      <c r="E251" s="812" t="s">
        <v>195</v>
      </c>
      <c r="K251" s="808"/>
      <c r="M251" s="808"/>
      <c r="N251" s="808"/>
      <c r="O251" s="808"/>
      <c r="P251" s="808"/>
      <c r="Q251" s="808"/>
      <c r="R251" s="808"/>
      <c r="S251" s="808"/>
      <c r="T251" s="808"/>
      <c r="U251" s="808"/>
      <c r="V251" s="808"/>
      <c r="W251" s="808"/>
      <c r="X251" s="808"/>
      <c r="Y251" s="808"/>
      <c r="Z251" s="808"/>
      <c r="AA251" s="808"/>
      <c r="AB251" s="808"/>
      <c r="AC251" s="808"/>
      <c r="AD251" s="808"/>
      <c r="AE251" s="808"/>
      <c r="AF251" s="808"/>
      <c r="AG251" s="808"/>
      <c r="AH251" s="808"/>
      <c r="AI251" s="808"/>
      <c r="AJ251" s="808"/>
      <c r="AK251" s="808"/>
      <c r="AL251" s="808"/>
      <c r="AM251" s="808"/>
      <c r="AN251" s="808"/>
      <c r="AO251" s="808"/>
      <c r="AP251" s="808"/>
      <c r="AQ251" s="808"/>
      <c r="AR251" s="808"/>
      <c r="AS251" s="808"/>
      <c r="AT251" s="808"/>
      <c r="AU251" s="808"/>
      <c r="AV251" s="808"/>
      <c r="AW251" s="808"/>
      <c r="AX251" s="808"/>
      <c r="AY251" s="808"/>
      <c r="AZ251" s="808"/>
      <c r="BA251" s="808"/>
      <c r="BB251" s="808"/>
      <c r="BC251" s="808"/>
      <c r="BD251" s="808"/>
      <c r="BE251" s="808"/>
      <c r="BF251" s="808"/>
      <c r="BG251" s="808"/>
      <c r="BH251" s="808"/>
      <c r="BI251" s="808"/>
      <c r="BJ251" s="808"/>
      <c r="BK251" s="808"/>
      <c r="BL251" s="808"/>
      <c r="BM251" s="808"/>
      <c r="BN251" s="808"/>
      <c r="BO251" s="808"/>
      <c r="BP251" s="808"/>
      <c r="BQ251" s="808"/>
      <c r="BR251" s="808"/>
      <c r="BS251" s="808"/>
      <c r="BT251" s="808"/>
      <c r="BU251" s="808"/>
      <c r="BV251" s="808"/>
      <c r="BW251" s="808"/>
      <c r="BX251" s="808"/>
      <c r="BY251" s="808"/>
      <c r="BZ251" s="808"/>
      <c r="CA251" s="808"/>
      <c r="CB251" s="808"/>
      <c r="CC251" s="808"/>
      <c r="CD251" s="808"/>
      <c r="CE251" s="808"/>
      <c r="CF251" s="808"/>
      <c r="CG251" s="808"/>
      <c r="CH251" s="808"/>
      <c r="CI251" s="808"/>
      <c r="CJ251" s="808"/>
      <c r="CK251" s="808"/>
      <c r="CL251" s="808"/>
      <c r="CM251" s="808"/>
      <c r="CN251" s="808"/>
      <c r="CO251" s="808"/>
      <c r="CP251" s="808"/>
      <c r="CQ251" s="808"/>
      <c r="CR251" s="808"/>
      <c r="CS251" s="808"/>
      <c r="CT251" s="808"/>
      <c r="CU251" s="808"/>
      <c r="CV251" s="808"/>
      <c r="CW251" s="808"/>
      <c r="CX251" s="808"/>
      <c r="CY251" s="808"/>
      <c r="CZ251" s="808"/>
      <c r="DA251" s="808"/>
      <c r="DB251" s="808"/>
      <c r="DC251" s="808"/>
      <c r="DD251" s="808"/>
      <c r="DE251" s="808"/>
      <c r="DF251" s="808"/>
      <c r="DG251" s="808"/>
      <c r="DH251" s="808"/>
      <c r="DI251" s="808"/>
      <c r="DJ251" s="808"/>
      <c r="DK251" s="808"/>
      <c r="DL251" s="808"/>
      <c r="DM251" s="808"/>
      <c r="DN251" s="808"/>
      <c r="DO251" s="808"/>
      <c r="DP251" s="808"/>
    </row>
    <row r="252" spans="1:120">
      <c r="A252" s="821"/>
      <c r="B252" s="813" t="s">
        <v>1220</v>
      </c>
      <c r="C252" s="814" t="s">
        <v>366</v>
      </c>
      <c r="D252" s="815">
        <v>0</v>
      </c>
      <c r="E252" s="815">
        <v>0</v>
      </c>
      <c r="K252" s="808"/>
      <c r="M252" s="808"/>
      <c r="N252" s="808"/>
      <c r="O252" s="808"/>
      <c r="P252" s="808"/>
      <c r="Q252" s="808"/>
      <c r="R252" s="808"/>
      <c r="S252" s="808"/>
      <c r="T252" s="808"/>
      <c r="U252" s="808"/>
      <c r="V252" s="808"/>
      <c r="W252" s="808"/>
      <c r="X252" s="808"/>
      <c r="Y252" s="808"/>
      <c r="Z252" s="808"/>
      <c r="AA252" s="808"/>
      <c r="AB252" s="808"/>
      <c r="AC252" s="808"/>
      <c r="AD252" s="808"/>
      <c r="AE252" s="808"/>
      <c r="AF252" s="808"/>
      <c r="AG252" s="808"/>
      <c r="AH252" s="808"/>
      <c r="AI252" s="808"/>
      <c r="AJ252" s="808"/>
      <c r="AK252" s="808"/>
      <c r="AL252" s="808"/>
      <c r="AM252" s="808"/>
      <c r="AN252" s="808"/>
      <c r="AO252" s="808"/>
      <c r="AP252" s="808"/>
      <c r="AQ252" s="808"/>
      <c r="AR252" s="808"/>
      <c r="AS252" s="808"/>
      <c r="AT252" s="808"/>
      <c r="AU252" s="808"/>
      <c r="AV252" s="808"/>
      <c r="AW252" s="808"/>
      <c r="AX252" s="808"/>
      <c r="AY252" s="808"/>
      <c r="AZ252" s="808"/>
      <c r="BA252" s="808"/>
      <c r="BB252" s="808"/>
      <c r="BC252" s="808"/>
      <c r="BD252" s="808"/>
      <c r="BE252" s="808"/>
      <c r="BF252" s="808"/>
      <c r="BG252" s="808"/>
      <c r="BH252" s="808"/>
      <c r="BI252" s="808"/>
      <c r="BJ252" s="808"/>
      <c r="BK252" s="808"/>
      <c r="BL252" s="808"/>
      <c r="BM252" s="808"/>
      <c r="BN252" s="808"/>
      <c r="BO252" s="808"/>
      <c r="BP252" s="808"/>
      <c r="BQ252" s="808"/>
      <c r="BR252" s="808"/>
      <c r="BS252" s="808"/>
      <c r="BT252" s="808"/>
      <c r="BU252" s="808"/>
      <c r="BV252" s="808"/>
      <c r="BW252" s="808"/>
      <c r="BX252" s="808"/>
      <c r="BY252" s="808"/>
      <c r="BZ252" s="808"/>
      <c r="CA252" s="808"/>
      <c r="CB252" s="808"/>
      <c r="CC252" s="808"/>
      <c r="CD252" s="808"/>
      <c r="CE252" s="808"/>
      <c r="CF252" s="808"/>
      <c r="CG252" s="808"/>
      <c r="CH252" s="808"/>
      <c r="CI252" s="808"/>
      <c r="CJ252" s="808"/>
      <c r="CK252" s="808"/>
      <c r="CL252" s="808"/>
      <c r="CM252" s="808"/>
      <c r="CN252" s="808"/>
      <c r="CO252" s="808"/>
      <c r="CP252" s="808"/>
      <c r="CQ252" s="808"/>
      <c r="CR252" s="808"/>
      <c r="CS252" s="808"/>
      <c r="CT252" s="808"/>
      <c r="CU252" s="808"/>
      <c r="CV252" s="808"/>
      <c r="CW252" s="808"/>
      <c r="CX252" s="808"/>
      <c r="CY252" s="808"/>
      <c r="CZ252" s="808"/>
      <c r="DA252" s="808"/>
      <c r="DB252" s="808"/>
      <c r="DC252" s="808"/>
      <c r="DD252" s="808"/>
      <c r="DE252" s="808"/>
      <c r="DF252" s="808"/>
      <c r="DG252" s="808"/>
      <c r="DH252" s="808"/>
      <c r="DI252" s="808"/>
      <c r="DJ252" s="808"/>
      <c r="DK252" s="808"/>
      <c r="DL252" s="808"/>
      <c r="DM252" s="808"/>
      <c r="DN252" s="808"/>
      <c r="DO252" s="808"/>
      <c r="DP252" s="808"/>
    </row>
    <row r="253" spans="1:120">
      <c r="A253" s="821"/>
      <c r="B253" s="813" t="s">
        <v>1290</v>
      </c>
      <c r="C253" s="814" t="s">
        <v>1311</v>
      </c>
      <c r="D253" s="815">
        <v>127124561.90000001</v>
      </c>
      <c r="E253" s="815">
        <f>179993873318.09/1000</f>
        <v>179993873.31808999</v>
      </c>
      <c r="K253" s="808"/>
      <c r="M253" s="808"/>
      <c r="N253" s="808"/>
      <c r="O253" s="808"/>
      <c r="P253" s="808"/>
      <c r="Q253" s="808"/>
      <c r="R253" s="808"/>
      <c r="S253" s="808"/>
      <c r="T253" s="808"/>
      <c r="U253" s="808"/>
      <c r="V253" s="808"/>
      <c r="W253" s="808"/>
      <c r="X253" s="808"/>
      <c r="Y253" s="808"/>
      <c r="Z253" s="808"/>
      <c r="AA253" s="808"/>
      <c r="AB253" s="808"/>
      <c r="AC253" s="808"/>
      <c r="AD253" s="808"/>
      <c r="AE253" s="808"/>
      <c r="AF253" s="808"/>
      <c r="AG253" s="808"/>
      <c r="AH253" s="808"/>
      <c r="AI253" s="808"/>
      <c r="AJ253" s="808"/>
      <c r="AK253" s="808"/>
      <c r="AL253" s="808"/>
      <c r="AM253" s="808"/>
      <c r="AN253" s="808"/>
      <c r="AO253" s="808"/>
      <c r="AP253" s="808"/>
      <c r="AQ253" s="808"/>
      <c r="AR253" s="808"/>
      <c r="AS253" s="808"/>
      <c r="AT253" s="808"/>
      <c r="AU253" s="808"/>
      <c r="AV253" s="808"/>
      <c r="AW253" s="808"/>
      <c r="AX253" s="808"/>
      <c r="AY253" s="808"/>
      <c r="AZ253" s="808"/>
      <c r="BA253" s="808"/>
      <c r="BB253" s="808"/>
      <c r="BC253" s="808"/>
      <c r="BD253" s="808"/>
      <c r="BE253" s="808"/>
      <c r="BF253" s="808"/>
      <c r="BG253" s="808"/>
      <c r="BH253" s="808"/>
      <c r="BI253" s="808"/>
      <c r="BJ253" s="808"/>
      <c r="BK253" s="808"/>
      <c r="BL253" s="808"/>
      <c r="BM253" s="808"/>
      <c r="BN253" s="808"/>
      <c r="BO253" s="808"/>
      <c r="BP253" s="808"/>
      <c r="BQ253" s="808"/>
      <c r="BR253" s="808"/>
      <c r="BS253" s="808"/>
      <c r="BT253" s="808"/>
      <c r="BU253" s="808"/>
      <c r="BV253" s="808"/>
      <c r="BW253" s="808"/>
      <c r="BX253" s="808"/>
      <c r="BY253" s="808"/>
      <c r="BZ253" s="808"/>
      <c r="CA253" s="808"/>
      <c r="CB253" s="808"/>
      <c r="CC253" s="808"/>
      <c r="CD253" s="808"/>
      <c r="CE253" s="808"/>
      <c r="CF253" s="808"/>
      <c r="CG253" s="808"/>
      <c r="CH253" s="808"/>
      <c r="CI253" s="808"/>
      <c r="CJ253" s="808"/>
      <c r="CK253" s="808"/>
      <c r="CL253" s="808"/>
      <c r="CM253" s="808"/>
      <c r="CN253" s="808"/>
      <c r="CO253" s="808"/>
      <c r="CP253" s="808"/>
      <c r="CQ253" s="808"/>
      <c r="CR253" s="808"/>
      <c r="CS253" s="808"/>
      <c r="CT253" s="808"/>
      <c r="CU253" s="808"/>
      <c r="CV253" s="808"/>
      <c r="CW253" s="808"/>
      <c r="CX253" s="808"/>
      <c r="CY253" s="808"/>
      <c r="CZ253" s="808"/>
      <c r="DA253" s="808"/>
      <c r="DB253" s="808"/>
      <c r="DC253" s="808"/>
      <c r="DD253" s="808"/>
      <c r="DE253" s="808"/>
      <c r="DF253" s="808"/>
      <c r="DG253" s="808"/>
      <c r="DH253" s="808"/>
      <c r="DI253" s="808"/>
      <c r="DJ253" s="808"/>
      <c r="DK253" s="808"/>
      <c r="DL253" s="808"/>
      <c r="DM253" s="808"/>
      <c r="DN253" s="808"/>
      <c r="DO253" s="808"/>
      <c r="DP253" s="808"/>
    </row>
    <row r="254" spans="1:120">
      <c r="A254" s="821"/>
      <c r="B254" s="813" t="s">
        <v>1291</v>
      </c>
      <c r="C254" s="814"/>
      <c r="D254" s="815">
        <v>0</v>
      </c>
      <c r="E254" s="815">
        <v>0</v>
      </c>
      <c r="K254" s="808"/>
      <c r="M254" s="808"/>
      <c r="N254" s="808"/>
      <c r="O254" s="808"/>
      <c r="P254" s="808"/>
      <c r="Q254" s="808"/>
      <c r="R254" s="808"/>
      <c r="S254" s="808"/>
      <c r="T254" s="808"/>
      <c r="U254" s="808"/>
      <c r="V254" s="808"/>
      <c r="W254" s="808"/>
      <c r="X254" s="808"/>
      <c r="Y254" s="808"/>
      <c r="Z254" s="808"/>
      <c r="AA254" s="808"/>
      <c r="AB254" s="808"/>
      <c r="AC254" s="808"/>
      <c r="AD254" s="808"/>
      <c r="AE254" s="808"/>
      <c r="AF254" s="808"/>
      <c r="AG254" s="808"/>
      <c r="AH254" s="808"/>
      <c r="AI254" s="808"/>
      <c r="AJ254" s="808"/>
      <c r="AK254" s="808"/>
      <c r="AL254" s="808"/>
      <c r="AM254" s="808"/>
      <c r="AN254" s="808"/>
      <c r="AO254" s="808"/>
      <c r="AP254" s="808"/>
      <c r="AQ254" s="808"/>
      <c r="AR254" s="808"/>
      <c r="AS254" s="808"/>
      <c r="AT254" s="808"/>
      <c r="AU254" s="808"/>
      <c r="AV254" s="808"/>
      <c r="AW254" s="808"/>
      <c r="AX254" s="808"/>
      <c r="AY254" s="808"/>
      <c r="AZ254" s="808"/>
      <c r="BA254" s="808"/>
      <c r="BB254" s="808"/>
      <c r="BC254" s="808"/>
      <c r="BD254" s="808"/>
      <c r="BE254" s="808"/>
      <c r="BF254" s="808"/>
      <c r="BG254" s="808"/>
      <c r="BH254" s="808"/>
      <c r="BI254" s="808"/>
      <c r="BJ254" s="808"/>
      <c r="BK254" s="808"/>
      <c r="BL254" s="808"/>
      <c r="BM254" s="808"/>
      <c r="BN254" s="808"/>
      <c r="BO254" s="808"/>
      <c r="BP254" s="808"/>
      <c r="BQ254" s="808"/>
      <c r="BR254" s="808"/>
      <c r="BS254" s="808"/>
      <c r="BT254" s="808"/>
      <c r="BU254" s="808"/>
      <c r="BV254" s="808"/>
      <c r="BW254" s="808"/>
      <c r="BX254" s="808"/>
      <c r="BY254" s="808"/>
      <c r="BZ254" s="808"/>
      <c r="CA254" s="808"/>
      <c r="CB254" s="808"/>
      <c r="CC254" s="808"/>
      <c r="CD254" s="808"/>
      <c r="CE254" s="808"/>
      <c r="CF254" s="808"/>
      <c r="CG254" s="808"/>
      <c r="CH254" s="808"/>
      <c r="CI254" s="808"/>
      <c r="CJ254" s="808"/>
      <c r="CK254" s="808"/>
      <c r="CL254" s="808"/>
      <c r="CM254" s="808"/>
      <c r="CN254" s="808"/>
      <c r="CO254" s="808"/>
      <c r="CP254" s="808"/>
      <c r="CQ254" s="808"/>
      <c r="CR254" s="808"/>
      <c r="CS254" s="808"/>
      <c r="CT254" s="808"/>
      <c r="CU254" s="808"/>
      <c r="CV254" s="808"/>
      <c r="CW254" s="808"/>
      <c r="CX254" s="808"/>
      <c r="CY254" s="808"/>
      <c r="CZ254" s="808"/>
      <c r="DA254" s="808"/>
      <c r="DB254" s="808"/>
      <c r="DC254" s="808"/>
      <c r="DD254" s="808"/>
      <c r="DE254" s="808"/>
      <c r="DF254" s="808"/>
      <c r="DG254" s="808"/>
      <c r="DH254" s="808"/>
      <c r="DI254" s="808"/>
      <c r="DJ254" s="808"/>
      <c r="DK254" s="808"/>
      <c r="DL254" s="808"/>
      <c r="DM254" s="808"/>
      <c r="DN254" s="808"/>
      <c r="DO254" s="808"/>
      <c r="DP254" s="808"/>
    </row>
    <row r="255" spans="1:120">
      <c r="A255" s="821"/>
      <c r="B255" s="813" t="s">
        <v>1294</v>
      </c>
      <c r="C255" s="814" t="s">
        <v>1312</v>
      </c>
      <c r="D255" s="815">
        <v>0</v>
      </c>
      <c r="E255" s="815">
        <v>0</v>
      </c>
      <c r="K255" s="808"/>
      <c r="M255" s="808"/>
      <c r="N255" s="808"/>
      <c r="O255" s="808"/>
      <c r="P255" s="808"/>
      <c r="Q255" s="808"/>
      <c r="R255" s="808"/>
      <c r="S255" s="808"/>
      <c r="T255" s="808"/>
      <c r="U255" s="808"/>
      <c r="V255" s="808"/>
      <c r="W255" s="808"/>
      <c r="X255" s="808"/>
      <c r="Y255" s="808"/>
      <c r="Z255" s="808"/>
      <c r="AA255" s="808"/>
      <c r="AB255" s="808"/>
      <c r="AC255" s="808"/>
      <c r="AD255" s="808"/>
      <c r="AE255" s="808"/>
      <c r="AF255" s="808"/>
      <c r="AG255" s="808"/>
      <c r="AH255" s="808"/>
      <c r="AI255" s="808"/>
      <c r="AJ255" s="808"/>
      <c r="AK255" s="808"/>
      <c r="AL255" s="808"/>
      <c r="AM255" s="808"/>
      <c r="AN255" s="808"/>
      <c r="AO255" s="808"/>
      <c r="AP255" s="808"/>
      <c r="AQ255" s="808"/>
      <c r="AR255" s="808"/>
      <c r="AS255" s="808"/>
      <c r="AT255" s="808"/>
      <c r="AU255" s="808"/>
      <c r="AV255" s="808"/>
      <c r="AW255" s="808"/>
      <c r="AX255" s="808"/>
      <c r="AY255" s="808"/>
      <c r="AZ255" s="808"/>
      <c r="BA255" s="808"/>
      <c r="BB255" s="808"/>
      <c r="BC255" s="808"/>
      <c r="BD255" s="808"/>
      <c r="BE255" s="808"/>
      <c r="BF255" s="808"/>
      <c r="BG255" s="808"/>
      <c r="BH255" s="808"/>
      <c r="BI255" s="808"/>
      <c r="BJ255" s="808"/>
      <c r="BK255" s="808"/>
      <c r="BL255" s="808"/>
      <c r="BM255" s="808"/>
      <c r="BN255" s="808"/>
      <c r="BO255" s="808"/>
      <c r="BP255" s="808"/>
      <c r="BQ255" s="808"/>
      <c r="BR255" s="808"/>
      <c r="BS255" s="808"/>
      <c r="BT255" s="808"/>
      <c r="BU255" s="808"/>
      <c r="BV255" s="808"/>
      <c r="BW255" s="808"/>
      <c r="BX255" s="808"/>
      <c r="BY255" s="808"/>
      <c r="BZ255" s="808"/>
      <c r="CA255" s="808"/>
      <c r="CB255" s="808"/>
      <c r="CC255" s="808"/>
      <c r="CD255" s="808"/>
      <c r="CE255" s="808"/>
      <c r="CF255" s="808"/>
      <c r="CG255" s="808"/>
      <c r="CH255" s="808"/>
      <c r="CI255" s="808"/>
      <c r="CJ255" s="808"/>
      <c r="CK255" s="808"/>
      <c r="CL255" s="808"/>
      <c r="CM255" s="808"/>
      <c r="CN255" s="808"/>
      <c r="CO255" s="808"/>
      <c r="CP255" s="808"/>
      <c r="CQ255" s="808"/>
      <c r="CR255" s="808"/>
      <c r="CS255" s="808"/>
      <c r="CT255" s="808"/>
      <c r="CU255" s="808"/>
      <c r="CV255" s="808"/>
      <c r="CW255" s="808"/>
      <c r="CX255" s="808"/>
      <c r="CY255" s="808"/>
      <c r="CZ255" s="808"/>
      <c r="DA255" s="808"/>
      <c r="DB255" s="808"/>
      <c r="DC255" s="808"/>
      <c r="DD255" s="808"/>
      <c r="DE255" s="808"/>
      <c r="DF255" s="808"/>
      <c r="DG255" s="808"/>
      <c r="DH255" s="808"/>
      <c r="DI255" s="808"/>
      <c r="DJ255" s="808"/>
      <c r="DK255" s="808"/>
      <c r="DL255" s="808"/>
      <c r="DM255" s="808"/>
      <c r="DN255" s="808"/>
      <c r="DO255" s="808"/>
      <c r="DP255" s="808"/>
    </row>
    <row r="256" spans="1:120">
      <c r="A256" s="821"/>
      <c r="B256" s="813" t="s">
        <v>1296</v>
      </c>
      <c r="C256" s="814"/>
      <c r="D256" s="815">
        <v>0</v>
      </c>
      <c r="E256" s="815">
        <v>0</v>
      </c>
      <c r="K256" s="808"/>
      <c r="M256" s="808"/>
      <c r="N256" s="808"/>
      <c r="O256" s="808"/>
      <c r="P256" s="808"/>
      <c r="Q256" s="808"/>
      <c r="R256" s="808"/>
      <c r="S256" s="808"/>
      <c r="T256" s="808"/>
      <c r="U256" s="808"/>
      <c r="V256" s="808"/>
      <c r="W256" s="808"/>
      <c r="X256" s="808"/>
      <c r="Y256" s="808"/>
      <c r="Z256" s="808"/>
      <c r="AA256" s="808"/>
      <c r="AB256" s="808"/>
      <c r="AC256" s="808"/>
      <c r="AD256" s="808"/>
      <c r="AE256" s="808"/>
      <c r="AF256" s="808"/>
      <c r="AG256" s="808"/>
      <c r="AH256" s="808"/>
      <c r="AI256" s="808"/>
      <c r="AJ256" s="808"/>
      <c r="AK256" s="808"/>
      <c r="AL256" s="808"/>
      <c r="AM256" s="808"/>
      <c r="AN256" s="808"/>
      <c r="AO256" s="808"/>
      <c r="AP256" s="808"/>
      <c r="AQ256" s="808"/>
      <c r="AR256" s="808"/>
      <c r="AS256" s="808"/>
      <c r="AT256" s="808"/>
      <c r="AU256" s="808"/>
      <c r="AV256" s="808"/>
      <c r="AW256" s="808"/>
      <c r="AX256" s="808"/>
      <c r="AY256" s="808"/>
      <c r="AZ256" s="808"/>
      <c r="BA256" s="808"/>
      <c r="BB256" s="808"/>
      <c r="BC256" s="808"/>
      <c r="BD256" s="808"/>
      <c r="BE256" s="808"/>
      <c r="BF256" s="808"/>
      <c r="BG256" s="808"/>
      <c r="BH256" s="808"/>
      <c r="BI256" s="808"/>
      <c r="BJ256" s="808"/>
      <c r="BK256" s="808"/>
      <c r="BL256" s="808"/>
      <c r="BM256" s="808"/>
      <c r="BN256" s="808"/>
      <c r="BO256" s="808"/>
      <c r="BP256" s="808"/>
      <c r="BQ256" s="808"/>
      <c r="BR256" s="808"/>
      <c r="BS256" s="808"/>
      <c r="BT256" s="808"/>
      <c r="BU256" s="808"/>
      <c r="BV256" s="808"/>
      <c r="BW256" s="808"/>
      <c r="BX256" s="808"/>
      <c r="BY256" s="808"/>
      <c r="BZ256" s="808"/>
      <c r="CA256" s="808"/>
      <c r="CB256" s="808"/>
      <c r="CC256" s="808"/>
      <c r="CD256" s="808"/>
      <c r="CE256" s="808"/>
      <c r="CF256" s="808"/>
      <c r="CG256" s="808"/>
      <c r="CH256" s="808"/>
      <c r="CI256" s="808"/>
      <c r="CJ256" s="808"/>
      <c r="CK256" s="808"/>
      <c r="CL256" s="808"/>
      <c r="CM256" s="808"/>
      <c r="CN256" s="808"/>
      <c r="CO256" s="808"/>
      <c r="CP256" s="808"/>
      <c r="CQ256" s="808"/>
      <c r="CR256" s="808"/>
      <c r="CS256" s="808"/>
      <c r="CT256" s="808"/>
      <c r="CU256" s="808"/>
      <c r="CV256" s="808"/>
      <c r="CW256" s="808"/>
      <c r="CX256" s="808"/>
      <c r="CY256" s="808"/>
      <c r="CZ256" s="808"/>
      <c r="DA256" s="808"/>
      <c r="DB256" s="808"/>
      <c r="DC256" s="808"/>
      <c r="DD256" s="808"/>
      <c r="DE256" s="808"/>
      <c r="DF256" s="808"/>
      <c r="DG256" s="808"/>
      <c r="DH256" s="808"/>
      <c r="DI256" s="808"/>
      <c r="DJ256" s="808"/>
      <c r="DK256" s="808"/>
      <c r="DL256" s="808"/>
      <c r="DM256" s="808"/>
      <c r="DN256" s="808"/>
      <c r="DO256" s="808"/>
      <c r="DP256" s="808"/>
    </row>
    <row r="257" spans="1:120">
      <c r="A257" s="821"/>
      <c r="B257" s="813" t="s">
        <v>961</v>
      </c>
      <c r="C257" s="814" t="s">
        <v>369</v>
      </c>
      <c r="D257" s="815">
        <v>127124561.90000001</v>
      </c>
      <c r="E257" s="815">
        <f>+E253</f>
        <v>179993873.31808999</v>
      </c>
      <c r="K257" s="808"/>
      <c r="M257" s="808"/>
      <c r="N257" s="808"/>
      <c r="O257" s="808"/>
      <c r="P257" s="808"/>
      <c r="Q257" s="808"/>
      <c r="R257" s="808"/>
      <c r="S257" s="808"/>
      <c r="T257" s="808"/>
      <c r="U257" s="808"/>
      <c r="V257" s="808"/>
      <c r="W257" s="808"/>
      <c r="X257" s="808"/>
      <c r="Y257" s="808"/>
      <c r="Z257" s="808"/>
      <c r="AA257" s="808"/>
      <c r="AB257" s="808"/>
      <c r="AC257" s="808"/>
      <c r="AD257" s="808"/>
      <c r="AE257" s="808"/>
      <c r="AF257" s="808"/>
      <c r="AG257" s="808"/>
      <c r="AH257" s="808"/>
      <c r="AI257" s="808"/>
      <c r="AJ257" s="808"/>
      <c r="AK257" s="808"/>
      <c r="AL257" s="808"/>
      <c r="AM257" s="808"/>
      <c r="AN257" s="808"/>
      <c r="AO257" s="808"/>
      <c r="AP257" s="808"/>
      <c r="AQ257" s="808"/>
      <c r="AR257" s="808"/>
      <c r="AS257" s="808"/>
      <c r="AT257" s="808"/>
      <c r="AU257" s="808"/>
      <c r="AV257" s="808"/>
      <c r="AW257" s="808"/>
      <c r="AX257" s="808"/>
      <c r="AY257" s="808"/>
      <c r="AZ257" s="808"/>
      <c r="BA257" s="808"/>
      <c r="BB257" s="808"/>
      <c r="BC257" s="808"/>
      <c r="BD257" s="808"/>
      <c r="BE257" s="808"/>
      <c r="BF257" s="808"/>
      <c r="BG257" s="808"/>
      <c r="BH257" s="808"/>
      <c r="BI257" s="808"/>
      <c r="BJ257" s="808"/>
      <c r="BK257" s="808"/>
      <c r="BL257" s="808"/>
      <c r="BM257" s="808"/>
      <c r="BN257" s="808"/>
      <c r="BO257" s="808"/>
      <c r="BP257" s="808"/>
      <c r="BQ257" s="808"/>
      <c r="BR257" s="808"/>
      <c r="BS257" s="808"/>
      <c r="BT257" s="808"/>
      <c r="BU257" s="808"/>
      <c r="BV257" s="808"/>
      <c r="BW257" s="808"/>
      <c r="BX257" s="808"/>
      <c r="BY257" s="808"/>
      <c r="BZ257" s="808"/>
      <c r="CA257" s="808"/>
      <c r="CB257" s="808"/>
      <c r="CC257" s="808"/>
      <c r="CD257" s="808"/>
      <c r="CE257" s="808"/>
      <c r="CF257" s="808"/>
      <c r="CG257" s="808"/>
      <c r="CH257" s="808"/>
      <c r="CI257" s="808"/>
      <c r="CJ257" s="808"/>
      <c r="CK257" s="808"/>
      <c r="CL257" s="808"/>
      <c r="CM257" s="808"/>
      <c r="CN257" s="808"/>
      <c r="CO257" s="808"/>
      <c r="CP257" s="808"/>
      <c r="CQ257" s="808"/>
      <c r="CR257" s="808"/>
      <c r="CS257" s="808"/>
      <c r="CT257" s="808"/>
      <c r="CU257" s="808"/>
      <c r="CV257" s="808"/>
      <c r="CW257" s="808"/>
      <c r="CX257" s="808"/>
      <c r="CY257" s="808"/>
      <c r="CZ257" s="808"/>
      <c r="DA257" s="808"/>
      <c r="DB257" s="808"/>
      <c r="DC257" s="808"/>
      <c r="DD257" s="808"/>
      <c r="DE257" s="808"/>
      <c r="DF257" s="808"/>
      <c r="DG257" s="808"/>
      <c r="DH257" s="808"/>
      <c r="DI257" s="808"/>
      <c r="DJ257" s="808"/>
      <c r="DK257" s="808"/>
      <c r="DL257" s="808"/>
      <c r="DM257" s="808"/>
      <c r="DN257" s="808"/>
      <c r="DO257" s="808"/>
      <c r="DP257" s="808"/>
    </row>
    <row r="258" spans="1:120" ht="26.4">
      <c r="A258" s="821"/>
      <c r="B258" s="813" t="s">
        <v>1278</v>
      </c>
      <c r="C258" s="816" t="s">
        <v>1313</v>
      </c>
      <c r="D258" s="815">
        <v>1505067.6</v>
      </c>
      <c r="E258" s="815">
        <f>8616386671.57/1000+1704293961/1000</f>
        <v>10320680.632569999</v>
      </c>
      <c r="K258" s="808"/>
      <c r="M258" s="808"/>
      <c r="N258" s="808"/>
      <c r="O258" s="808"/>
      <c r="P258" s="808"/>
      <c r="Q258" s="808"/>
      <c r="R258" s="808"/>
      <c r="S258" s="808"/>
      <c r="T258" s="808"/>
      <c r="U258" s="808"/>
      <c r="V258" s="808"/>
      <c r="W258" s="808"/>
      <c r="X258" s="808"/>
      <c r="Y258" s="808"/>
      <c r="Z258" s="808"/>
      <c r="AA258" s="808"/>
      <c r="AB258" s="808"/>
      <c r="AC258" s="808"/>
      <c r="AD258" s="808"/>
      <c r="AE258" s="808"/>
      <c r="AF258" s="808"/>
      <c r="AG258" s="808"/>
      <c r="AH258" s="808"/>
      <c r="AI258" s="808"/>
      <c r="AJ258" s="808"/>
      <c r="AK258" s="808"/>
      <c r="AL258" s="808"/>
      <c r="AM258" s="808"/>
      <c r="AN258" s="808"/>
      <c r="AO258" s="808"/>
      <c r="AP258" s="808"/>
      <c r="AQ258" s="808"/>
      <c r="AR258" s="808"/>
      <c r="AS258" s="808"/>
      <c r="AT258" s="808"/>
      <c r="AU258" s="808"/>
      <c r="AV258" s="808"/>
      <c r="AW258" s="808"/>
      <c r="AX258" s="808"/>
      <c r="AY258" s="808"/>
      <c r="AZ258" s="808"/>
      <c r="BA258" s="808"/>
      <c r="BB258" s="808"/>
      <c r="BC258" s="808"/>
      <c r="BD258" s="808"/>
      <c r="BE258" s="808"/>
      <c r="BF258" s="808"/>
      <c r="BG258" s="808"/>
      <c r="BH258" s="808"/>
      <c r="BI258" s="808"/>
      <c r="BJ258" s="808"/>
      <c r="BK258" s="808"/>
      <c r="BL258" s="808"/>
      <c r="BM258" s="808"/>
      <c r="BN258" s="808"/>
      <c r="BO258" s="808"/>
      <c r="BP258" s="808"/>
      <c r="BQ258" s="808"/>
      <c r="BR258" s="808"/>
      <c r="BS258" s="808"/>
      <c r="BT258" s="808"/>
      <c r="BU258" s="808"/>
      <c r="BV258" s="808"/>
      <c r="BW258" s="808"/>
      <c r="BX258" s="808"/>
      <c r="BY258" s="808"/>
      <c r="BZ258" s="808"/>
      <c r="CA258" s="808"/>
      <c r="CB258" s="808"/>
      <c r="CC258" s="808"/>
      <c r="CD258" s="808"/>
      <c r="CE258" s="808"/>
      <c r="CF258" s="808"/>
      <c r="CG258" s="808"/>
      <c r="CH258" s="808"/>
      <c r="CI258" s="808"/>
      <c r="CJ258" s="808"/>
      <c r="CK258" s="808"/>
      <c r="CL258" s="808"/>
      <c r="CM258" s="808"/>
      <c r="CN258" s="808"/>
      <c r="CO258" s="808"/>
      <c r="CP258" s="808"/>
      <c r="CQ258" s="808"/>
      <c r="CR258" s="808"/>
      <c r="CS258" s="808"/>
      <c r="CT258" s="808"/>
      <c r="CU258" s="808"/>
      <c r="CV258" s="808"/>
      <c r="CW258" s="808"/>
      <c r="CX258" s="808"/>
      <c r="CY258" s="808"/>
      <c r="CZ258" s="808"/>
      <c r="DA258" s="808"/>
      <c r="DB258" s="808"/>
      <c r="DC258" s="808"/>
      <c r="DD258" s="808"/>
      <c r="DE258" s="808"/>
      <c r="DF258" s="808"/>
      <c r="DG258" s="808"/>
      <c r="DH258" s="808"/>
      <c r="DI258" s="808"/>
      <c r="DJ258" s="808"/>
      <c r="DK258" s="808"/>
      <c r="DL258" s="808"/>
      <c r="DM258" s="808"/>
      <c r="DN258" s="808"/>
      <c r="DO258" s="808"/>
      <c r="DP258" s="808"/>
    </row>
    <row r="259" spans="1:120">
      <c r="A259" s="821"/>
      <c r="B259" s="813" t="s">
        <v>963</v>
      </c>
      <c r="C259" s="816" t="s">
        <v>371</v>
      </c>
      <c r="D259" s="815">
        <v>125619494.3</v>
      </c>
      <c r="E259" s="815">
        <f>+E257-E258</f>
        <v>169673192.68551999</v>
      </c>
      <c r="F259" s="214">
        <f>+E259-income!D7/1000</f>
        <v>-23754415.982630134</v>
      </c>
      <c r="K259" s="808"/>
      <c r="M259" s="808"/>
      <c r="N259" s="808"/>
      <c r="O259" s="808"/>
      <c r="P259" s="808"/>
      <c r="Q259" s="808"/>
      <c r="R259" s="808"/>
      <c r="S259" s="808"/>
      <c r="T259" s="808"/>
      <c r="U259" s="808"/>
      <c r="V259" s="808"/>
      <c r="W259" s="808"/>
      <c r="X259" s="808"/>
      <c r="Y259" s="808"/>
      <c r="Z259" s="808"/>
      <c r="AA259" s="808"/>
      <c r="AB259" s="808"/>
      <c r="AC259" s="808"/>
      <c r="AD259" s="808"/>
      <c r="AE259" s="808"/>
      <c r="AF259" s="808"/>
      <c r="AG259" s="808"/>
      <c r="AH259" s="808"/>
      <c r="AI259" s="808"/>
      <c r="AJ259" s="808"/>
      <c r="AK259" s="808"/>
      <c r="AL259" s="808"/>
      <c r="AM259" s="808"/>
      <c r="AN259" s="808"/>
      <c r="AO259" s="808"/>
      <c r="AP259" s="808"/>
      <c r="AQ259" s="808"/>
      <c r="AR259" s="808"/>
      <c r="AS259" s="808"/>
      <c r="AT259" s="808"/>
      <c r="AU259" s="808"/>
      <c r="AV259" s="808"/>
      <c r="AW259" s="808"/>
      <c r="AX259" s="808"/>
      <c r="AY259" s="808"/>
      <c r="AZ259" s="808"/>
      <c r="BA259" s="808"/>
      <c r="BB259" s="808"/>
      <c r="BC259" s="808"/>
      <c r="BD259" s="808"/>
      <c r="BE259" s="808"/>
      <c r="BF259" s="808"/>
      <c r="BG259" s="808"/>
      <c r="BH259" s="808"/>
      <c r="BI259" s="808"/>
      <c r="BJ259" s="808"/>
      <c r="BK259" s="808"/>
      <c r="BL259" s="808"/>
      <c r="BM259" s="808"/>
      <c r="BN259" s="808"/>
      <c r="BO259" s="808"/>
      <c r="BP259" s="808"/>
      <c r="BQ259" s="808"/>
      <c r="BR259" s="808"/>
      <c r="BS259" s="808"/>
      <c r="BT259" s="808"/>
      <c r="BU259" s="808"/>
      <c r="BV259" s="808"/>
      <c r="BW259" s="808"/>
      <c r="BX259" s="808"/>
      <c r="BY259" s="808"/>
      <c r="BZ259" s="808"/>
      <c r="CA259" s="808"/>
      <c r="CB259" s="808"/>
      <c r="CC259" s="808"/>
      <c r="CD259" s="808"/>
      <c r="CE259" s="808"/>
      <c r="CF259" s="808"/>
      <c r="CG259" s="808"/>
      <c r="CH259" s="808"/>
      <c r="CI259" s="808"/>
      <c r="CJ259" s="808"/>
      <c r="CK259" s="808"/>
      <c r="CL259" s="808"/>
      <c r="CM259" s="808"/>
      <c r="CN259" s="808"/>
      <c r="CO259" s="808"/>
      <c r="CP259" s="808"/>
      <c r="CQ259" s="808"/>
      <c r="CR259" s="808"/>
      <c r="CS259" s="808"/>
      <c r="CT259" s="808"/>
      <c r="CU259" s="808"/>
      <c r="CV259" s="808"/>
      <c r="CW259" s="808"/>
      <c r="CX259" s="808"/>
      <c r="CY259" s="808"/>
      <c r="CZ259" s="808"/>
      <c r="DA259" s="808"/>
      <c r="DB259" s="808"/>
      <c r="DC259" s="808"/>
      <c r="DD259" s="808"/>
      <c r="DE259" s="808"/>
      <c r="DF259" s="808"/>
      <c r="DG259" s="808"/>
      <c r="DH259" s="808"/>
      <c r="DI259" s="808"/>
      <c r="DJ259" s="808"/>
      <c r="DK259" s="808"/>
      <c r="DL259" s="808"/>
      <c r="DM259" s="808"/>
      <c r="DN259" s="808"/>
      <c r="DO259" s="808"/>
      <c r="DP259" s="808"/>
    </row>
    <row r="260" spans="1:120">
      <c r="A260" s="821"/>
      <c r="B260" s="813" t="s">
        <v>1201</v>
      </c>
      <c r="C260" s="816" t="s">
        <v>1314</v>
      </c>
      <c r="D260" s="815">
        <v>0</v>
      </c>
      <c r="E260" s="815">
        <v>0</v>
      </c>
      <c r="K260" s="808"/>
      <c r="M260" s="808"/>
      <c r="N260" s="808"/>
      <c r="O260" s="808"/>
      <c r="P260" s="808"/>
      <c r="Q260" s="808"/>
      <c r="R260" s="808"/>
      <c r="S260" s="808"/>
      <c r="T260" s="808"/>
      <c r="U260" s="808"/>
      <c r="V260" s="808"/>
      <c r="W260" s="808"/>
      <c r="X260" s="808"/>
      <c r="Y260" s="808"/>
      <c r="Z260" s="808"/>
      <c r="AA260" s="808"/>
      <c r="AB260" s="808"/>
      <c r="AC260" s="808"/>
      <c r="AD260" s="808"/>
      <c r="AE260" s="808"/>
      <c r="AF260" s="808"/>
      <c r="AG260" s="808"/>
      <c r="AH260" s="808"/>
      <c r="AI260" s="808"/>
      <c r="AJ260" s="808"/>
      <c r="AK260" s="808"/>
      <c r="AL260" s="808"/>
      <c r="AM260" s="808"/>
      <c r="AN260" s="808"/>
      <c r="AO260" s="808"/>
      <c r="AP260" s="808"/>
      <c r="AQ260" s="808"/>
      <c r="AR260" s="808"/>
      <c r="AS260" s="808"/>
      <c r="AT260" s="808"/>
      <c r="AU260" s="808"/>
      <c r="AV260" s="808"/>
      <c r="AW260" s="808"/>
      <c r="AX260" s="808"/>
      <c r="AY260" s="808"/>
      <c r="AZ260" s="808"/>
      <c r="BA260" s="808"/>
      <c r="BB260" s="808"/>
      <c r="BC260" s="808"/>
      <c r="BD260" s="808"/>
      <c r="BE260" s="808"/>
      <c r="BF260" s="808"/>
      <c r="BG260" s="808"/>
      <c r="BH260" s="808"/>
      <c r="BI260" s="808"/>
      <c r="BJ260" s="808"/>
      <c r="BK260" s="808"/>
      <c r="BL260" s="808"/>
      <c r="BM260" s="808"/>
      <c r="BN260" s="808"/>
      <c r="BO260" s="808"/>
      <c r="BP260" s="808"/>
      <c r="BQ260" s="808"/>
      <c r="BR260" s="808"/>
      <c r="BS260" s="808"/>
      <c r="BT260" s="808"/>
      <c r="BU260" s="808"/>
      <c r="BV260" s="808"/>
      <c r="BW260" s="808"/>
      <c r="BX260" s="808"/>
      <c r="BY260" s="808"/>
      <c r="BZ260" s="808"/>
      <c r="CA260" s="808"/>
      <c r="CB260" s="808"/>
      <c r="CC260" s="808"/>
      <c r="CD260" s="808"/>
      <c r="CE260" s="808"/>
      <c r="CF260" s="808"/>
      <c r="CG260" s="808"/>
      <c r="CH260" s="808"/>
      <c r="CI260" s="808"/>
      <c r="CJ260" s="808"/>
      <c r="CK260" s="808"/>
      <c r="CL260" s="808"/>
      <c r="CM260" s="808"/>
      <c r="CN260" s="808"/>
      <c r="CO260" s="808"/>
      <c r="CP260" s="808"/>
      <c r="CQ260" s="808"/>
      <c r="CR260" s="808"/>
      <c r="CS260" s="808"/>
      <c r="CT260" s="808"/>
      <c r="CU260" s="808"/>
      <c r="CV260" s="808"/>
      <c r="CW260" s="808"/>
      <c r="CX260" s="808"/>
      <c r="CY260" s="808"/>
      <c r="CZ260" s="808"/>
      <c r="DA260" s="808"/>
      <c r="DB260" s="808"/>
      <c r="DC260" s="808"/>
      <c r="DD260" s="808"/>
      <c r="DE260" s="808"/>
      <c r="DF260" s="808"/>
      <c r="DG260" s="808"/>
      <c r="DH260" s="808"/>
      <c r="DI260" s="808"/>
      <c r="DJ260" s="808"/>
      <c r="DK260" s="808"/>
      <c r="DL260" s="808"/>
      <c r="DM260" s="808"/>
      <c r="DN260" s="808"/>
      <c r="DO260" s="808"/>
      <c r="DP260" s="808"/>
    </row>
    <row r="261" spans="1:120">
      <c r="A261" s="821"/>
      <c r="B261" s="813" t="s">
        <v>1315</v>
      </c>
      <c r="C261" s="814" t="s">
        <v>1316</v>
      </c>
      <c r="D261" s="815">
        <v>75069526.299999997</v>
      </c>
      <c r="E261" s="815">
        <f>101185485102.11/1000</f>
        <v>101185485.10211</v>
      </c>
      <c r="K261" s="808"/>
      <c r="M261" s="808"/>
      <c r="N261" s="808"/>
      <c r="O261" s="808"/>
      <c r="P261" s="808"/>
      <c r="Q261" s="808"/>
      <c r="R261" s="808"/>
      <c r="S261" s="808"/>
      <c r="T261" s="808"/>
      <c r="U261" s="808"/>
      <c r="V261" s="808"/>
      <c r="W261" s="808"/>
      <c r="X261" s="808"/>
      <c r="Y261" s="808"/>
      <c r="Z261" s="808"/>
      <c r="AA261" s="808"/>
      <c r="AB261" s="808"/>
      <c r="AC261" s="808"/>
      <c r="AD261" s="808"/>
      <c r="AE261" s="808"/>
      <c r="AF261" s="808"/>
      <c r="AG261" s="808"/>
      <c r="AH261" s="808"/>
      <c r="AI261" s="808"/>
      <c r="AJ261" s="808"/>
      <c r="AK261" s="808"/>
      <c r="AL261" s="808"/>
      <c r="AM261" s="808"/>
      <c r="AN261" s="808"/>
      <c r="AO261" s="808"/>
      <c r="AP261" s="808"/>
      <c r="AQ261" s="808"/>
      <c r="AR261" s="808"/>
      <c r="AS261" s="808"/>
      <c r="AT261" s="808"/>
      <c r="AU261" s="808"/>
      <c r="AV261" s="808"/>
      <c r="AW261" s="808"/>
      <c r="AX261" s="808"/>
      <c r="AY261" s="808"/>
      <c r="AZ261" s="808"/>
      <c r="BA261" s="808"/>
      <c r="BB261" s="808"/>
      <c r="BC261" s="808"/>
      <c r="BD261" s="808"/>
      <c r="BE261" s="808"/>
      <c r="BF261" s="808"/>
      <c r="BG261" s="808"/>
      <c r="BH261" s="808"/>
      <c r="BI261" s="808"/>
      <c r="BJ261" s="808"/>
      <c r="BK261" s="808"/>
      <c r="BL261" s="808"/>
      <c r="BM261" s="808"/>
      <c r="BN261" s="808"/>
      <c r="BO261" s="808"/>
      <c r="BP261" s="808"/>
      <c r="BQ261" s="808"/>
      <c r="BR261" s="808"/>
      <c r="BS261" s="808"/>
      <c r="BT261" s="808"/>
      <c r="BU261" s="808"/>
      <c r="BV261" s="808"/>
      <c r="BW261" s="808"/>
      <c r="BX261" s="808"/>
      <c r="BY261" s="808"/>
      <c r="BZ261" s="808"/>
      <c r="CA261" s="808"/>
      <c r="CB261" s="808"/>
      <c r="CC261" s="808"/>
      <c r="CD261" s="808"/>
      <c r="CE261" s="808"/>
      <c r="CF261" s="808"/>
      <c r="CG261" s="808"/>
      <c r="CH261" s="808"/>
      <c r="CI261" s="808"/>
      <c r="CJ261" s="808"/>
      <c r="CK261" s="808"/>
      <c r="CL261" s="808"/>
      <c r="CM261" s="808"/>
      <c r="CN261" s="808"/>
      <c r="CO261" s="808"/>
      <c r="CP261" s="808"/>
      <c r="CQ261" s="808"/>
      <c r="CR261" s="808"/>
      <c r="CS261" s="808"/>
      <c r="CT261" s="808"/>
      <c r="CU261" s="808"/>
      <c r="CV261" s="808"/>
      <c r="CW261" s="808"/>
      <c r="CX261" s="808"/>
      <c r="CY261" s="808"/>
      <c r="CZ261" s="808"/>
      <c r="DA261" s="808"/>
      <c r="DB261" s="808"/>
      <c r="DC261" s="808"/>
      <c r="DD261" s="808"/>
      <c r="DE261" s="808"/>
      <c r="DF261" s="808"/>
      <c r="DG261" s="808"/>
      <c r="DH261" s="808"/>
      <c r="DI261" s="808"/>
      <c r="DJ261" s="808"/>
      <c r="DK261" s="808"/>
      <c r="DL261" s="808"/>
      <c r="DM261" s="808"/>
      <c r="DN261" s="808"/>
      <c r="DO261" s="808"/>
      <c r="DP261" s="808"/>
    </row>
    <row r="262" spans="1:120">
      <c r="A262" s="821"/>
      <c r="B262" s="813" t="s">
        <v>1317</v>
      </c>
      <c r="C262" s="814"/>
      <c r="D262" s="815">
        <v>0</v>
      </c>
      <c r="E262" s="815">
        <v>0</v>
      </c>
      <c r="K262" s="808"/>
      <c r="M262" s="808"/>
      <c r="N262" s="808"/>
      <c r="O262" s="808"/>
      <c r="P262" s="808"/>
      <c r="Q262" s="808"/>
      <c r="R262" s="808"/>
      <c r="S262" s="808"/>
      <c r="T262" s="808"/>
      <c r="U262" s="808"/>
      <c r="V262" s="808"/>
      <c r="W262" s="808"/>
      <c r="X262" s="808"/>
      <c r="Y262" s="808"/>
      <c r="Z262" s="808"/>
      <c r="AA262" s="808"/>
      <c r="AB262" s="808"/>
      <c r="AC262" s="808"/>
      <c r="AD262" s="808"/>
      <c r="AE262" s="808"/>
      <c r="AF262" s="808"/>
      <c r="AG262" s="808"/>
      <c r="AH262" s="808"/>
      <c r="AI262" s="808"/>
      <c r="AJ262" s="808"/>
      <c r="AK262" s="808"/>
      <c r="AL262" s="808"/>
      <c r="AM262" s="808"/>
      <c r="AN262" s="808"/>
      <c r="AO262" s="808"/>
      <c r="AP262" s="808"/>
      <c r="AQ262" s="808"/>
      <c r="AR262" s="808"/>
      <c r="AS262" s="808"/>
      <c r="AT262" s="808"/>
      <c r="AU262" s="808"/>
      <c r="AV262" s="808"/>
      <c r="AW262" s="808"/>
      <c r="AX262" s="808"/>
      <c r="AY262" s="808"/>
      <c r="AZ262" s="808"/>
      <c r="BA262" s="808"/>
      <c r="BB262" s="808"/>
      <c r="BC262" s="808"/>
      <c r="BD262" s="808"/>
      <c r="BE262" s="808"/>
      <c r="BF262" s="808"/>
      <c r="BG262" s="808"/>
      <c r="BH262" s="808"/>
      <c r="BI262" s="808"/>
      <c r="BJ262" s="808"/>
      <c r="BK262" s="808"/>
      <c r="BL262" s="808"/>
      <c r="BM262" s="808"/>
      <c r="BN262" s="808"/>
      <c r="BO262" s="808"/>
      <c r="BP262" s="808"/>
      <c r="BQ262" s="808"/>
      <c r="BR262" s="808"/>
      <c r="BS262" s="808"/>
      <c r="BT262" s="808"/>
      <c r="BU262" s="808"/>
      <c r="BV262" s="808"/>
      <c r="BW262" s="808"/>
      <c r="BX262" s="808"/>
      <c r="BY262" s="808"/>
      <c r="BZ262" s="808"/>
      <c r="CA262" s="808"/>
      <c r="CB262" s="808"/>
      <c r="CC262" s="808"/>
      <c r="CD262" s="808"/>
      <c r="CE262" s="808"/>
      <c r="CF262" s="808"/>
      <c r="CG262" s="808"/>
      <c r="CH262" s="808"/>
      <c r="CI262" s="808"/>
      <c r="CJ262" s="808"/>
      <c r="CK262" s="808"/>
      <c r="CL262" s="808"/>
      <c r="CM262" s="808"/>
      <c r="CN262" s="808"/>
      <c r="CO262" s="808"/>
      <c r="CP262" s="808"/>
      <c r="CQ262" s="808"/>
      <c r="CR262" s="808"/>
      <c r="CS262" s="808"/>
      <c r="CT262" s="808"/>
      <c r="CU262" s="808"/>
      <c r="CV262" s="808"/>
      <c r="CW262" s="808"/>
      <c r="CX262" s="808"/>
      <c r="CY262" s="808"/>
      <c r="CZ262" s="808"/>
      <c r="DA262" s="808"/>
      <c r="DB262" s="808"/>
      <c r="DC262" s="808"/>
      <c r="DD262" s="808"/>
      <c r="DE262" s="808"/>
      <c r="DF262" s="808"/>
      <c r="DG262" s="808"/>
      <c r="DH262" s="808"/>
      <c r="DI262" s="808"/>
      <c r="DJ262" s="808"/>
      <c r="DK262" s="808"/>
      <c r="DL262" s="808"/>
      <c r="DM262" s="808"/>
      <c r="DN262" s="808"/>
      <c r="DO262" s="808"/>
      <c r="DP262" s="808"/>
    </row>
    <row r="263" spans="1:120">
      <c r="A263" s="821"/>
      <c r="B263" s="813" t="s">
        <v>1318</v>
      </c>
      <c r="C263" s="814" t="s">
        <v>1319</v>
      </c>
      <c r="D263" s="815">
        <v>0</v>
      </c>
      <c r="E263" s="815">
        <v>0</v>
      </c>
      <c r="K263" s="808"/>
      <c r="M263" s="808"/>
      <c r="N263" s="808"/>
      <c r="O263" s="808"/>
      <c r="P263" s="808"/>
      <c r="Q263" s="808"/>
      <c r="R263" s="808"/>
      <c r="S263" s="808"/>
      <c r="T263" s="808"/>
      <c r="U263" s="808"/>
      <c r="V263" s="808"/>
      <c r="W263" s="808"/>
      <c r="X263" s="808"/>
      <c r="Y263" s="808"/>
      <c r="Z263" s="808"/>
      <c r="AA263" s="808"/>
      <c r="AB263" s="808"/>
      <c r="AC263" s="808"/>
      <c r="AD263" s="808"/>
      <c r="AE263" s="808"/>
      <c r="AF263" s="808"/>
      <c r="AG263" s="808"/>
      <c r="AH263" s="808"/>
      <c r="AI263" s="808"/>
      <c r="AJ263" s="808"/>
      <c r="AK263" s="808"/>
      <c r="AL263" s="808"/>
      <c r="AM263" s="808"/>
      <c r="AN263" s="808"/>
      <c r="AO263" s="808"/>
      <c r="AP263" s="808"/>
      <c r="AQ263" s="808"/>
      <c r="AR263" s="808"/>
      <c r="AS263" s="808"/>
      <c r="AT263" s="808"/>
      <c r="AU263" s="808"/>
      <c r="AV263" s="808"/>
      <c r="AW263" s="808"/>
      <c r="AX263" s="808"/>
      <c r="AY263" s="808"/>
      <c r="AZ263" s="808"/>
      <c r="BA263" s="808"/>
      <c r="BB263" s="808"/>
      <c r="BC263" s="808"/>
      <c r="BD263" s="808"/>
      <c r="BE263" s="808"/>
      <c r="BF263" s="808"/>
      <c r="BG263" s="808"/>
      <c r="BH263" s="808"/>
      <c r="BI263" s="808"/>
      <c r="BJ263" s="808"/>
      <c r="BK263" s="808"/>
      <c r="BL263" s="808"/>
      <c r="BM263" s="808"/>
      <c r="BN263" s="808"/>
      <c r="BO263" s="808"/>
      <c r="BP263" s="808"/>
      <c r="BQ263" s="808"/>
      <c r="BR263" s="808"/>
      <c r="BS263" s="808"/>
      <c r="BT263" s="808"/>
      <c r="BU263" s="808"/>
      <c r="BV263" s="808"/>
      <c r="BW263" s="808"/>
      <c r="BX263" s="808"/>
      <c r="BY263" s="808"/>
      <c r="BZ263" s="808"/>
      <c r="CA263" s="808"/>
      <c r="CB263" s="808"/>
      <c r="CC263" s="808"/>
      <c r="CD263" s="808"/>
      <c r="CE263" s="808"/>
      <c r="CF263" s="808"/>
      <c r="CG263" s="808"/>
      <c r="CH263" s="808"/>
      <c r="CI263" s="808"/>
      <c r="CJ263" s="808"/>
      <c r="CK263" s="808"/>
      <c r="CL263" s="808"/>
      <c r="CM263" s="808"/>
      <c r="CN263" s="808"/>
      <c r="CO263" s="808"/>
      <c r="CP263" s="808"/>
      <c r="CQ263" s="808"/>
      <c r="CR263" s="808"/>
      <c r="CS263" s="808"/>
      <c r="CT263" s="808"/>
      <c r="CU263" s="808"/>
      <c r="CV263" s="808"/>
      <c r="CW263" s="808"/>
      <c r="CX263" s="808"/>
      <c r="CY263" s="808"/>
      <c r="CZ263" s="808"/>
      <c r="DA263" s="808"/>
      <c r="DB263" s="808"/>
      <c r="DC263" s="808"/>
      <c r="DD263" s="808"/>
      <c r="DE263" s="808"/>
      <c r="DF263" s="808"/>
      <c r="DG263" s="808"/>
      <c r="DH263" s="808"/>
      <c r="DI263" s="808"/>
      <c r="DJ263" s="808"/>
      <c r="DK263" s="808"/>
      <c r="DL263" s="808"/>
      <c r="DM263" s="808"/>
      <c r="DN263" s="808"/>
      <c r="DO263" s="808"/>
      <c r="DP263" s="808"/>
    </row>
    <row r="264" spans="1:120">
      <c r="A264" s="821"/>
      <c r="B264" s="813" t="s">
        <v>1320</v>
      </c>
      <c r="C264" s="814"/>
      <c r="D264" s="815">
        <v>0</v>
      </c>
      <c r="E264" s="815">
        <v>0</v>
      </c>
      <c r="K264" s="808"/>
      <c r="M264" s="808"/>
      <c r="N264" s="808"/>
      <c r="O264" s="808"/>
      <c r="P264" s="808"/>
      <c r="Q264" s="808"/>
      <c r="R264" s="808"/>
      <c r="S264" s="808"/>
      <c r="T264" s="808"/>
      <c r="U264" s="808"/>
      <c r="V264" s="808"/>
      <c r="W264" s="808"/>
      <c r="X264" s="808"/>
      <c r="Y264" s="808"/>
      <c r="Z264" s="808"/>
      <c r="AA264" s="808"/>
      <c r="AB264" s="808"/>
      <c r="AC264" s="808"/>
      <c r="AD264" s="808"/>
      <c r="AE264" s="808"/>
      <c r="AF264" s="808"/>
      <c r="AG264" s="808"/>
      <c r="AH264" s="808"/>
      <c r="AI264" s="808"/>
      <c r="AJ264" s="808"/>
      <c r="AK264" s="808"/>
      <c r="AL264" s="808"/>
      <c r="AM264" s="808"/>
      <c r="AN264" s="808"/>
      <c r="AO264" s="808"/>
      <c r="AP264" s="808"/>
      <c r="AQ264" s="808"/>
      <c r="AR264" s="808"/>
      <c r="AS264" s="808"/>
      <c r="AT264" s="808"/>
      <c r="AU264" s="808"/>
      <c r="AV264" s="808"/>
      <c r="AW264" s="808"/>
      <c r="AX264" s="808"/>
      <c r="AY264" s="808"/>
      <c r="AZ264" s="808"/>
      <c r="BA264" s="808"/>
      <c r="BB264" s="808"/>
      <c r="BC264" s="808"/>
      <c r="BD264" s="808"/>
      <c r="BE264" s="808"/>
      <c r="BF264" s="808"/>
      <c r="BG264" s="808"/>
      <c r="BH264" s="808"/>
      <c r="BI264" s="808"/>
      <c r="BJ264" s="808"/>
      <c r="BK264" s="808"/>
      <c r="BL264" s="808"/>
      <c r="BM264" s="808"/>
      <c r="BN264" s="808"/>
      <c r="BO264" s="808"/>
      <c r="BP264" s="808"/>
      <c r="BQ264" s="808"/>
      <c r="BR264" s="808"/>
      <c r="BS264" s="808"/>
      <c r="BT264" s="808"/>
      <c r="BU264" s="808"/>
      <c r="BV264" s="808"/>
      <c r="BW264" s="808"/>
      <c r="BX264" s="808"/>
      <c r="BY264" s="808"/>
      <c r="BZ264" s="808"/>
      <c r="CA264" s="808"/>
      <c r="CB264" s="808"/>
      <c r="CC264" s="808"/>
      <c r="CD264" s="808"/>
      <c r="CE264" s="808"/>
      <c r="CF264" s="808"/>
      <c r="CG264" s="808"/>
      <c r="CH264" s="808"/>
      <c r="CI264" s="808"/>
      <c r="CJ264" s="808"/>
      <c r="CK264" s="808"/>
      <c r="CL264" s="808"/>
      <c r="CM264" s="808"/>
      <c r="CN264" s="808"/>
      <c r="CO264" s="808"/>
      <c r="CP264" s="808"/>
      <c r="CQ264" s="808"/>
      <c r="CR264" s="808"/>
      <c r="CS264" s="808"/>
      <c r="CT264" s="808"/>
      <c r="CU264" s="808"/>
      <c r="CV264" s="808"/>
      <c r="CW264" s="808"/>
      <c r="CX264" s="808"/>
      <c r="CY264" s="808"/>
      <c r="CZ264" s="808"/>
      <c r="DA264" s="808"/>
      <c r="DB264" s="808"/>
      <c r="DC264" s="808"/>
      <c r="DD264" s="808"/>
      <c r="DE264" s="808"/>
      <c r="DF264" s="808"/>
      <c r="DG264" s="808"/>
      <c r="DH264" s="808"/>
      <c r="DI264" s="808"/>
      <c r="DJ264" s="808"/>
      <c r="DK264" s="808"/>
      <c r="DL264" s="808"/>
      <c r="DM264" s="808"/>
      <c r="DN264" s="808"/>
      <c r="DO264" s="808"/>
      <c r="DP264" s="808"/>
    </row>
    <row r="265" spans="1:120">
      <c r="A265" s="821"/>
      <c r="B265" s="813" t="s">
        <v>1321</v>
      </c>
      <c r="C265" s="816" t="s">
        <v>1322</v>
      </c>
      <c r="D265" s="815">
        <v>75069526.299999997</v>
      </c>
      <c r="E265" s="815">
        <f>+E261</f>
        <v>101185485.10211</v>
      </c>
      <c r="K265" s="808"/>
      <c r="M265" s="808"/>
      <c r="N265" s="808"/>
      <c r="O265" s="808"/>
      <c r="P265" s="808"/>
      <c r="Q265" s="808"/>
      <c r="R265" s="808"/>
      <c r="S265" s="808"/>
      <c r="T265" s="808"/>
      <c r="U265" s="808"/>
      <c r="V265" s="808"/>
      <c r="W265" s="808"/>
      <c r="X265" s="808"/>
      <c r="Y265" s="808"/>
      <c r="Z265" s="808"/>
      <c r="AA265" s="808"/>
      <c r="AB265" s="808"/>
      <c r="AC265" s="808"/>
      <c r="AD265" s="808"/>
      <c r="AE265" s="808"/>
      <c r="AF265" s="808"/>
      <c r="AG265" s="808"/>
      <c r="AH265" s="808"/>
      <c r="AI265" s="808"/>
      <c r="AJ265" s="808"/>
      <c r="AK265" s="808"/>
      <c r="AL265" s="808"/>
      <c r="AM265" s="808"/>
      <c r="AN265" s="808"/>
      <c r="AO265" s="808"/>
      <c r="AP265" s="808"/>
      <c r="AQ265" s="808"/>
      <c r="AR265" s="808"/>
      <c r="AS265" s="808"/>
      <c r="AT265" s="808"/>
      <c r="AU265" s="808"/>
      <c r="AV265" s="808"/>
      <c r="AW265" s="808"/>
      <c r="AX265" s="808"/>
      <c r="AY265" s="808"/>
      <c r="AZ265" s="808"/>
      <c r="BA265" s="808"/>
      <c r="BB265" s="808"/>
      <c r="BC265" s="808"/>
      <c r="BD265" s="808"/>
      <c r="BE265" s="808"/>
      <c r="BF265" s="808"/>
      <c r="BG265" s="808"/>
      <c r="BH265" s="808"/>
      <c r="BI265" s="808"/>
      <c r="BJ265" s="808"/>
      <c r="BK265" s="808"/>
      <c r="BL265" s="808"/>
      <c r="BM265" s="808"/>
      <c r="BN265" s="808"/>
      <c r="BO265" s="808"/>
      <c r="BP265" s="808"/>
      <c r="BQ265" s="808"/>
      <c r="BR265" s="808"/>
      <c r="BS265" s="808"/>
      <c r="BT265" s="808"/>
      <c r="BU265" s="808"/>
      <c r="BV265" s="808"/>
      <c r="BW265" s="808"/>
      <c r="BX265" s="808"/>
      <c r="BY265" s="808"/>
      <c r="BZ265" s="808"/>
      <c r="CA265" s="808"/>
      <c r="CB265" s="808"/>
      <c r="CC265" s="808"/>
      <c r="CD265" s="808"/>
      <c r="CE265" s="808"/>
      <c r="CF265" s="808"/>
      <c r="CG265" s="808"/>
      <c r="CH265" s="808"/>
      <c r="CI265" s="808"/>
      <c r="CJ265" s="808"/>
      <c r="CK265" s="808"/>
      <c r="CL265" s="808"/>
      <c r="CM265" s="808"/>
      <c r="CN265" s="808"/>
      <c r="CO265" s="808"/>
      <c r="CP265" s="808"/>
      <c r="CQ265" s="808"/>
      <c r="CR265" s="808"/>
      <c r="CS265" s="808"/>
      <c r="CT265" s="808"/>
      <c r="CU265" s="808"/>
      <c r="CV265" s="808"/>
      <c r="CW265" s="808"/>
      <c r="CX265" s="808"/>
      <c r="CY265" s="808"/>
      <c r="CZ265" s="808"/>
      <c r="DA265" s="808"/>
      <c r="DB265" s="808"/>
      <c r="DC265" s="808"/>
      <c r="DD265" s="808"/>
      <c r="DE265" s="808"/>
      <c r="DF265" s="808"/>
      <c r="DG265" s="808"/>
      <c r="DH265" s="808"/>
      <c r="DI265" s="808"/>
      <c r="DJ265" s="808"/>
      <c r="DK265" s="808"/>
      <c r="DL265" s="808"/>
      <c r="DM265" s="808"/>
      <c r="DN265" s="808"/>
      <c r="DO265" s="808"/>
      <c r="DP265" s="808"/>
    </row>
    <row r="266" spans="1:120">
      <c r="A266" s="821" t="s">
        <v>1201</v>
      </c>
      <c r="B266" s="807" t="s">
        <v>1201</v>
      </c>
      <c r="C266" s="808" t="s">
        <v>1201</v>
      </c>
      <c r="D266" s="214" t="s">
        <v>1201</v>
      </c>
      <c r="E266" s="214">
        <f>+E265-income!D8/1000</f>
        <v>3418654.1008907109</v>
      </c>
      <c r="K266" s="808"/>
      <c r="M266" s="808"/>
      <c r="N266" s="808"/>
      <c r="O266" s="808"/>
      <c r="P266" s="808"/>
      <c r="Q266" s="808"/>
      <c r="R266" s="808"/>
      <c r="S266" s="808"/>
      <c r="T266" s="808"/>
      <c r="U266" s="808"/>
      <c r="V266" s="808"/>
      <c r="W266" s="808"/>
      <c r="X266" s="808"/>
      <c r="Y266" s="808"/>
      <c r="Z266" s="808"/>
      <c r="AA266" s="808"/>
      <c r="AB266" s="808"/>
      <c r="AC266" s="808"/>
      <c r="AD266" s="808"/>
      <c r="AE266" s="808"/>
      <c r="AF266" s="808"/>
      <c r="AG266" s="808"/>
      <c r="AH266" s="808"/>
      <c r="AI266" s="808"/>
      <c r="AJ266" s="808"/>
      <c r="AK266" s="808"/>
      <c r="AL266" s="808"/>
      <c r="AM266" s="808"/>
      <c r="AN266" s="808"/>
      <c r="AO266" s="808"/>
      <c r="AP266" s="808"/>
      <c r="AQ266" s="808"/>
      <c r="AR266" s="808"/>
      <c r="AS266" s="808"/>
      <c r="AT266" s="808"/>
      <c r="AU266" s="808"/>
      <c r="AV266" s="808"/>
      <c r="AW266" s="808"/>
      <c r="AX266" s="808"/>
      <c r="AY266" s="808"/>
      <c r="AZ266" s="808"/>
      <c r="BA266" s="808"/>
      <c r="BB266" s="808"/>
      <c r="BC266" s="808"/>
      <c r="BD266" s="808"/>
      <c r="BE266" s="808"/>
      <c r="BF266" s="808"/>
      <c r="BG266" s="808"/>
      <c r="BH266" s="808"/>
      <c r="BI266" s="808"/>
      <c r="BJ266" s="808"/>
      <c r="BK266" s="808"/>
      <c r="BL266" s="808"/>
      <c r="BM266" s="808"/>
      <c r="BN266" s="808"/>
      <c r="BO266" s="808"/>
      <c r="BP266" s="984"/>
      <c r="BQ266" s="984"/>
      <c r="BR266" s="984"/>
      <c r="BS266" s="984"/>
      <c r="BT266" s="984"/>
      <c r="BU266" s="984"/>
      <c r="BV266" s="984"/>
      <c r="BW266" s="984"/>
      <c r="BX266" s="984"/>
      <c r="BY266" s="984"/>
      <c r="BZ266" s="984"/>
      <c r="CA266" s="984"/>
      <c r="CB266" s="984"/>
      <c r="CC266" s="984"/>
      <c r="CD266" s="984"/>
      <c r="CE266" s="984"/>
      <c r="CF266" s="984"/>
      <c r="CG266" s="984"/>
      <c r="CH266" s="984"/>
      <c r="CI266" s="984"/>
      <c r="CJ266" s="984"/>
      <c r="CK266" s="984"/>
      <c r="CL266" s="984"/>
      <c r="CM266" s="984"/>
      <c r="CN266" s="984"/>
      <c r="CO266" s="984"/>
      <c r="CP266" s="984"/>
      <c r="CQ266" s="984"/>
      <c r="CR266" s="984"/>
      <c r="CS266" s="984"/>
      <c r="CT266" s="984"/>
      <c r="CU266" s="984"/>
      <c r="CV266" s="984"/>
      <c r="CW266" s="984"/>
      <c r="CX266" s="984"/>
      <c r="CY266" s="984"/>
      <c r="CZ266" s="984"/>
      <c r="DA266" s="984"/>
      <c r="DB266" s="984"/>
      <c r="DC266" s="984"/>
      <c r="DD266" s="984"/>
      <c r="DE266" s="984"/>
      <c r="DF266" s="984"/>
      <c r="DG266" s="984"/>
      <c r="DH266" s="984"/>
      <c r="DI266" s="984"/>
      <c r="DJ266" s="984"/>
      <c r="DK266" s="984"/>
      <c r="DL266" s="984"/>
      <c r="DM266" s="984"/>
      <c r="DN266" s="984"/>
      <c r="DO266" s="984"/>
      <c r="DP266" s="984"/>
    </row>
    <row r="267" spans="1:120">
      <c r="A267" s="821"/>
      <c r="B267" s="809" t="s">
        <v>1323</v>
      </c>
      <c r="C267" s="808"/>
      <c r="K267" s="808"/>
      <c r="M267" s="808"/>
      <c r="N267" s="808"/>
      <c r="O267" s="808"/>
      <c r="P267" s="808"/>
      <c r="Q267" s="808"/>
      <c r="R267" s="808"/>
      <c r="S267" s="808"/>
      <c r="T267" s="808"/>
      <c r="U267" s="808"/>
      <c r="V267" s="808"/>
      <c r="W267" s="808"/>
      <c r="X267" s="808"/>
      <c r="Y267" s="808"/>
      <c r="Z267" s="808"/>
      <c r="AA267" s="808"/>
      <c r="AB267" s="808"/>
      <c r="AC267" s="808"/>
      <c r="AD267" s="808"/>
      <c r="AE267" s="808"/>
      <c r="AF267" s="808"/>
      <c r="AG267" s="808"/>
      <c r="AH267" s="808"/>
      <c r="AI267" s="808"/>
      <c r="AJ267" s="808"/>
      <c r="AK267" s="808"/>
      <c r="AL267" s="808"/>
      <c r="AM267" s="808"/>
      <c r="AN267" s="808"/>
      <c r="AO267" s="808"/>
      <c r="AP267" s="808"/>
      <c r="AQ267" s="808"/>
      <c r="AR267" s="808"/>
      <c r="AS267" s="808"/>
      <c r="AT267" s="808"/>
      <c r="AU267" s="808"/>
      <c r="AV267" s="808"/>
      <c r="AW267" s="808"/>
      <c r="AX267" s="808"/>
      <c r="AY267" s="808"/>
      <c r="AZ267" s="808"/>
      <c r="BA267" s="808"/>
      <c r="BB267" s="808"/>
      <c r="BC267" s="808"/>
      <c r="BD267" s="808"/>
      <c r="BE267" s="808"/>
      <c r="BF267" s="808"/>
      <c r="BG267" s="808"/>
      <c r="BH267" s="808"/>
      <c r="BI267" s="808"/>
      <c r="BJ267" s="808"/>
      <c r="BK267" s="808"/>
      <c r="BL267" s="808"/>
      <c r="BM267" s="808"/>
      <c r="BN267" s="808"/>
      <c r="BO267" s="808"/>
      <c r="BP267" s="808"/>
      <c r="BQ267" s="808"/>
      <c r="BR267" s="808"/>
      <c r="BS267" s="808"/>
      <c r="BT267" s="808"/>
      <c r="BU267" s="808"/>
      <c r="BV267" s="808"/>
      <c r="BW267" s="808"/>
      <c r="BX267" s="808"/>
      <c r="BY267" s="808"/>
      <c r="BZ267" s="808"/>
      <c r="CA267" s="808"/>
      <c r="CB267" s="808"/>
      <c r="CC267" s="808"/>
      <c r="CD267" s="808"/>
      <c r="CE267" s="808"/>
      <c r="CF267" s="808"/>
      <c r="CG267" s="808"/>
      <c r="CH267" s="808"/>
      <c r="CI267" s="808"/>
      <c r="CJ267" s="808"/>
      <c r="CK267" s="808"/>
      <c r="CL267" s="808"/>
      <c r="CM267" s="808"/>
      <c r="CN267" s="808"/>
      <c r="CO267" s="808"/>
      <c r="CP267" s="808"/>
      <c r="CQ267" s="808"/>
      <c r="CR267" s="808"/>
      <c r="CS267" s="808"/>
      <c r="CT267" s="808"/>
      <c r="CU267" s="808"/>
      <c r="CV267" s="808"/>
      <c r="CW267" s="808"/>
      <c r="CX267" s="808"/>
      <c r="CY267" s="808"/>
      <c r="CZ267" s="808"/>
      <c r="DA267" s="808"/>
      <c r="DB267" s="808"/>
      <c r="DC267" s="808"/>
      <c r="DD267" s="808"/>
      <c r="DE267" s="808"/>
      <c r="DF267" s="808"/>
      <c r="DG267" s="808"/>
      <c r="DH267" s="808"/>
      <c r="DI267" s="808"/>
      <c r="DJ267" s="808"/>
      <c r="DK267" s="808"/>
      <c r="DL267" s="808"/>
      <c r="DM267" s="808"/>
      <c r="DN267" s="808"/>
      <c r="DO267" s="808"/>
      <c r="DP267" s="808"/>
    </row>
    <row r="268" spans="1:120">
      <c r="A268" s="821"/>
      <c r="B268" s="807"/>
      <c r="C268" s="808"/>
      <c r="E268" s="810" t="s">
        <v>1203</v>
      </c>
      <c r="K268" s="808"/>
      <c r="M268" s="808"/>
      <c r="N268" s="808"/>
      <c r="O268" s="808"/>
      <c r="P268" s="808"/>
      <c r="Q268" s="808"/>
      <c r="R268" s="808"/>
      <c r="S268" s="808"/>
      <c r="T268" s="808"/>
      <c r="U268" s="808"/>
      <c r="V268" s="808"/>
      <c r="W268" s="808"/>
      <c r="X268" s="808"/>
      <c r="Y268" s="808"/>
      <c r="Z268" s="808"/>
      <c r="AA268" s="808"/>
      <c r="AB268" s="808"/>
      <c r="AC268" s="808"/>
      <c r="AD268" s="808"/>
      <c r="AE268" s="808"/>
      <c r="AF268" s="808"/>
      <c r="AG268" s="808"/>
      <c r="AH268" s="808"/>
      <c r="AI268" s="808"/>
      <c r="AJ268" s="808"/>
      <c r="AK268" s="808"/>
      <c r="AL268" s="808"/>
      <c r="AM268" s="808"/>
      <c r="AN268" s="808"/>
      <c r="AO268" s="808"/>
      <c r="AP268" s="808"/>
      <c r="AQ268" s="808"/>
      <c r="AR268" s="808"/>
      <c r="AS268" s="808"/>
      <c r="AT268" s="808"/>
      <c r="AU268" s="808"/>
      <c r="AV268" s="808"/>
      <c r="AW268" s="808"/>
      <c r="AX268" s="808"/>
      <c r="AY268" s="808"/>
      <c r="AZ268" s="808"/>
      <c r="BA268" s="808"/>
      <c r="BB268" s="808"/>
      <c r="BC268" s="808"/>
      <c r="BD268" s="808"/>
      <c r="BE268" s="808"/>
      <c r="BF268" s="808"/>
      <c r="BG268" s="808"/>
      <c r="BH268" s="808"/>
      <c r="BI268" s="808"/>
      <c r="BJ268" s="808"/>
      <c r="BK268" s="808"/>
      <c r="BL268" s="808"/>
      <c r="BM268" s="808"/>
      <c r="BN268" s="808"/>
      <c r="BO268" s="808"/>
      <c r="BP268" s="808"/>
      <c r="BQ268" s="808"/>
      <c r="BR268" s="808"/>
      <c r="BS268" s="808"/>
      <c r="BT268" s="808"/>
      <c r="BU268" s="808"/>
      <c r="BV268" s="808"/>
      <c r="BW268" s="808"/>
      <c r="BX268" s="808"/>
      <c r="BY268" s="808"/>
      <c r="BZ268" s="808"/>
      <c r="CA268" s="808"/>
      <c r="CB268" s="808"/>
      <c r="CC268" s="808"/>
      <c r="CD268" s="808"/>
      <c r="CE268" s="808"/>
      <c r="CF268" s="808"/>
      <c r="CG268" s="808"/>
      <c r="CH268" s="808"/>
      <c r="CI268" s="808"/>
      <c r="CJ268" s="808"/>
      <c r="CK268" s="808"/>
      <c r="CL268" s="808"/>
      <c r="CM268" s="808"/>
      <c r="CN268" s="808"/>
      <c r="CO268" s="808"/>
      <c r="CP268" s="808"/>
      <c r="CQ268" s="808"/>
      <c r="CR268" s="808"/>
      <c r="CS268" s="808"/>
      <c r="CT268" s="808"/>
      <c r="CU268" s="808"/>
      <c r="CV268" s="808"/>
      <c r="CW268" s="808"/>
      <c r="CX268" s="808"/>
      <c r="CY268" s="808"/>
      <c r="CZ268" s="808"/>
      <c r="DA268" s="808"/>
      <c r="DB268" s="808"/>
      <c r="DC268" s="808"/>
      <c r="DD268" s="808"/>
      <c r="DE268" s="808"/>
      <c r="DF268" s="808"/>
      <c r="DG268" s="808"/>
      <c r="DH268" s="808"/>
      <c r="DI268" s="808"/>
      <c r="DJ268" s="808"/>
      <c r="DK268" s="808"/>
      <c r="DL268" s="808"/>
      <c r="DM268" s="808"/>
      <c r="DN268" s="808"/>
      <c r="DO268" s="808"/>
      <c r="DP268" s="808"/>
    </row>
    <row r="269" spans="1:120">
      <c r="A269" s="821"/>
      <c r="B269" s="811" t="s">
        <v>79</v>
      </c>
      <c r="C269" s="811" t="s">
        <v>5</v>
      </c>
      <c r="D269" s="812" t="s">
        <v>195</v>
      </c>
      <c r="E269" s="812" t="s">
        <v>195</v>
      </c>
      <c r="K269" s="808"/>
      <c r="M269" s="808"/>
      <c r="N269" s="808"/>
      <c r="O269" s="808"/>
      <c r="P269" s="808"/>
      <c r="Q269" s="808"/>
      <c r="R269" s="808"/>
      <c r="S269" s="808"/>
      <c r="T269" s="808"/>
      <c r="U269" s="808"/>
      <c r="V269" s="808"/>
      <c r="W269" s="808"/>
      <c r="X269" s="808"/>
      <c r="Y269" s="808"/>
      <c r="Z269" s="808"/>
      <c r="AA269" s="808"/>
      <c r="AB269" s="808"/>
      <c r="AC269" s="808"/>
      <c r="AD269" s="808"/>
      <c r="AE269" s="808"/>
      <c r="AF269" s="808"/>
      <c r="AG269" s="808"/>
      <c r="AH269" s="808"/>
      <c r="AI269" s="808"/>
      <c r="AJ269" s="808"/>
      <c r="AK269" s="808"/>
      <c r="AL269" s="808"/>
      <c r="AM269" s="808"/>
      <c r="AN269" s="808"/>
      <c r="AO269" s="808"/>
      <c r="AP269" s="808"/>
      <c r="AQ269" s="808"/>
      <c r="AR269" s="808"/>
      <c r="AS269" s="808"/>
      <c r="AT269" s="808"/>
      <c r="AU269" s="808"/>
      <c r="AV269" s="808"/>
      <c r="AW269" s="808"/>
      <c r="AX269" s="808"/>
      <c r="AY269" s="808"/>
      <c r="AZ269" s="808"/>
      <c r="BA269" s="808"/>
      <c r="BB269" s="808"/>
      <c r="BC269" s="808"/>
      <c r="BD269" s="808"/>
      <c r="BE269" s="808"/>
      <c r="BF269" s="808"/>
      <c r="BG269" s="808"/>
      <c r="BH269" s="808"/>
      <c r="BI269" s="808"/>
      <c r="BJ269" s="808"/>
      <c r="BK269" s="808"/>
      <c r="BL269" s="808"/>
      <c r="BM269" s="808"/>
      <c r="BN269" s="808"/>
      <c r="BO269" s="808"/>
      <c r="BP269" s="808"/>
      <c r="BQ269" s="808"/>
      <c r="BR269" s="808"/>
      <c r="BS269" s="808"/>
      <c r="BT269" s="808"/>
      <c r="BU269" s="808"/>
      <c r="BV269" s="808"/>
      <c r="BW269" s="808"/>
      <c r="BX269" s="808"/>
      <c r="BY269" s="808"/>
      <c r="BZ269" s="808"/>
      <c r="CA269" s="808"/>
      <c r="CB269" s="808"/>
      <c r="CC269" s="808"/>
      <c r="CD269" s="808"/>
      <c r="CE269" s="808"/>
      <c r="CF269" s="808"/>
      <c r="CG269" s="808"/>
      <c r="CH269" s="808"/>
      <c r="CI269" s="808"/>
      <c r="CJ269" s="808"/>
      <c r="CK269" s="808"/>
      <c r="CL269" s="808"/>
      <c r="CM269" s="808"/>
      <c r="CN269" s="808"/>
      <c r="CO269" s="808"/>
      <c r="CP269" s="808"/>
      <c r="CQ269" s="808"/>
      <c r="CR269" s="808"/>
      <c r="CS269" s="808"/>
      <c r="CT269" s="808"/>
      <c r="CU269" s="808"/>
      <c r="CV269" s="808"/>
      <c r="CW269" s="808"/>
      <c r="CX269" s="808"/>
      <c r="CY269" s="808"/>
      <c r="CZ269" s="808"/>
      <c r="DA269" s="808"/>
      <c r="DB269" s="808"/>
      <c r="DC269" s="808"/>
      <c r="DD269" s="808"/>
      <c r="DE269" s="808"/>
      <c r="DF269" s="808"/>
      <c r="DG269" s="808"/>
      <c r="DH269" s="808"/>
      <c r="DI269" s="808"/>
      <c r="DJ269" s="808"/>
      <c r="DK269" s="808"/>
      <c r="DL269" s="808"/>
      <c r="DM269" s="808"/>
      <c r="DN269" s="808"/>
      <c r="DO269" s="808"/>
      <c r="DP269" s="808"/>
    </row>
    <row r="270" spans="1:120">
      <c r="A270" s="821"/>
      <c r="B270" s="813" t="s">
        <v>947</v>
      </c>
      <c r="C270" s="814" t="s">
        <v>65</v>
      </c>
      <c r="D270" s="815">
        <v>82755.600000000006</v>
      </c>
      <c r="E270" s="815">
        <f>+income!D14/1000</f>
        <v>841754.06970340014</v>
      </c>
      <c r="K270" s="808"/>
      <c r="M270" s="808"/>
      <c r="N270" s="808"/>
      <c r="O270" s="808"/>
      <c r="P270" s="808"/>
      <c r="Q270" s="808"/>
      <c r="R270" s="808"/>
      <c r="S270" s="808"/>
      <c r="T270" s="808"/>
      <c r="U270" s="808"/>
      <c r="V270" s="808"/>
      <c r="W270" s="808"/>
      <c r="X270" s="808"/>
      <c r="Y270" s="808"/>
      <c r="Z270" s="808"/>
      <c r="AA270" s="808"/>
      <c r="AB270" s="808"/>
      <c r="AC270" s="808"/>
      <c r="AD270" s="808"/>
      <c r="AE270" s="808"/>
      <c r="AF270" s="808"/>
      <c r="AG270" s="808"/>
      <c r="AH270" s="808"/>
      <c r="AI270" s="808"/>
      <c r="AJ270" s="808"/>
      <c r="AK270" s="808"/>
      <c r="AL270" s="808"/>
      <c r="AM270" s="808"/>
      <c r="AN270" s="808"/>
      <c r="AO270" s="808"/>
      <c r="AP270" s="808"/>
      <c r="AQ270" s="808"/>
      <c r="AR270" s="808"/>
      <c r="AS270" s="808"/>
      <c r="AT270" s="808"/>
      <c r="AU270" s="808"/>
      <c r="AV270" s="808"/>
      <c r="AW270" s="808"/>
      <c r="AX270" s="808"/>
      <c r="AY270" s="808"/>
      <c r="AZ270" s="808"/>
      <c r="BA270" s="808"/>
      <c r="BB270" s="808"/>
      <c r="BC270" s="808"/>
      <c r="BD270" s="808"/>
      <c r="BE270" s="808"/>
      <c r="BF270" s="808"/>
      <c r="BG270" s="808"/>
      <c r="BH270" s="808"/>
      <c r="BI270" s="808"/>
      <c r="BJ270" s="808"/>
      <c r="BK270" s="808"/>
      <c r="BL270" s="808"/>
      <c r="BM270" s="808"/>
      <c r="BN270" s="808"/>
      <c r="BO270" s="808"/>
      <c r="BP270" s="808"/>
      <c r="BQ270" s="808"/>
      <c r="BR270" s="808"/>
      <c r="BS270" s="808"/>
      <c r="BT270" s="808"/>
      <c r="BU270" s="808"/>
      <c r="BV270" s="808"/>
      <c r="BW270" s="808"/>
      <c r="BX270" s="808"/>
      <c r="BY270" s="808"/>
      <c r="BZ270" s="808"/>
      <c r="CA270" s="808"/>
      <c r="CB270" s="808"/>
      <c r="CC270" s="808"/>
      <c r="CD270" s="808"/>
      <c r="CE270" s="808"/>
      <c r="CF270" s="808"/>
      <c r="CG270" s="808"/>
      <c r="CH270" s="808"/>
      <c r="CI270" s="808"/>
      <c r="CJ270" s="808"/>
      <c r="CK270" s="808"/>
      <c r="CL270" s="808"/>
      <c r="CM270" s="808"/>
      <c r="CN270" s="808"/>
      <c r="CO270" s="808"/>
      <c r="CP270" s="808"/>
      <c r="CQ270" s="808"/>
      <c r="CR270" s="808"/>
      <c r="CS270" s="808"/>
      <c r="CT270" s="808"/>
      <c r="CU270" s="808"/>
      <c r="CV270" s="808"/>
      <c r="CW270" s="808"/>
      <c r="CX270" s="808"/>
      <c r="CY270" s="808"/>
      <c r="CZ270" s="808"/>
      <c r="DA270" s="808"/>
      <c r="DB270" s="808"/>
      <c r="DC270" s="808"/>
      <c r="DD270" s="808"/>
      <c r="DE270" s="808"/>
      <c r="DF270" s="808"/>
      <c r="DG270" s="808"/>
      <c r="DH270" s="808"/>
      <c r="DI270" s="808"/>
      <c r="DJ270" s="808"/>
      <c r="DK270" s="808"/>
      <c r="DL270" s="808"/>
      <c r="DM270" s="808"/>
      <c r="DN270" s="808"/>
      <c r="DO270" s="808"/>
      <c r="DP270" s="808"/>
    </row>
    <row r="271" spans="1:120">
      <c r="A271" s="821"/>
      <c r="B271" s="813" t="s">
        <v>947</v>
      </c>
      <c r="C271" s="814" t="s">
        <v>381</v>
      </c>
      <c r="D271" s="815">
        <v>0</v>
      </c>
      <c r="E271" s="815">
        <v>0</v>
      </c>
      <c r="K271" s="808"/>
      <c r="M271" s="808"/>
      <c r="N271" s="808"/>
      <c r="O271" s="808"/>
      <c r="P271" s="808"/>
      <c r="Q271" s="808"/>
      <c r="R271" s="808"/>
      <c r="S271" s="808"/>
      <c r="T271" s="808"/>
      <c r="U271" s="808"/>
      <c r="V271" s="808"/>
      <c r="W271" s="808"/>
      <c r="X271" s="808"/>
      <c r="Y271" s="808"/>
      <c r="Z271" s="808"/>
      <c r="AA271" s="808"/>
      <c r="AB271" s="808"/>
      <c r="AC271" s="808"/>
      <c r="AD271" s="808"/>
      <c r="AE271" s="808"/>
      <c r="AF271" s="808"/>
      <c r="AG271" s="808"/>
      <c r="AH271" s="808"/>
      <c r="AI271" s="808"/>
      <c r="AJ271" s="808"/>
      <c r="AK271" s="808"/>
      <c r="AL271" s="808"/>
      <c r="AM271" s="808"/>
      <c r="AN271" s="808"/>
      <c r="AO271" s="808"/>
      <c r="AP271" s="808"/>
      <c r="AQ271" s="808"/>
      <c r="AR271" s="808"/>
      <c r="AS271" s="808"/>
      <c r="AT271" s="808"/>
      <c r="AU271" s="808"/>
      <c r="AV271" s="808"/>
      <c r="AW271" s="808"/>
      <c r="AX271" s="808"/>
      <c r="AY271" s="808"/>
      <c r="AZ271" s="808"/>
      <c r="BA271" s="808"/>
      <c r="BB271" s="808"/>
      <c r="BC271" s="808"/>
      <c r="BD271" s="808"/>
      <c r="BE271" s="808"/>
      <c r="BF271" s="808"/>
      <c r="BG271" s="808"/>
      <c r="BH271" s="808"/>
      <c r="BI271" s="808"/>
      <c r="BJ271" s="808"/>
      <c r="BK271" s="808"/>
      <c r="BL271" s="808"/>
      <c r="BM271" s="808"/>
      <c r="BN271" s="808"/>
      <c r="BO271" s="808"/>
      <c r="BP271" s="808"/>
      <c r="BQ271" s="808"/>
      <c r="BR271" s="808"/>
      <c r="BS271" s="808"/>
      <c r="BT271" s="808"/>
      <c r="BU271" s="808"/>
      <c r="BV271" s="808"/>
      <c r="BW271" s="808"/>
      <c r="BX271" s="808"/>
      <c r="BY271" s="808"/>
      <c r="BZ271" s="808"/>
      <c r="CA271" s="808"/>
      <c r="CB271" s="808"/>
      <c r="CC271" s="808"/>
      <c r="CD271" s="808"/>
      <c r="CE271" s="808"/>
      <c r="CF271" s="808"/>
      <c r="CG271" s="808"/>
      <c r="CH271" s="808"/>
      <c r="CI271" s="808"/>
      <c r="CJ271" s="808"/>
      <c r="CK271" s="808"/>
      <c r="CL271" s="808"/>
      <c r="CM271" s="808"/>
      <c r="CN271" s="808"/>
      <c r="CO271" s="808"/>
      <c r="CP271" s="808"/>
      <c r="CQ271" s="808"/>
      <c r="CR271" s="808"/>
      <c r="CS271" s="808"/>
      <c r="CT271" s="808"/>
      <c r="CU271" s="808"/>
      <c r="CV271" s="808"/>
      <c r="CW271" s="808"/>
      <c r="CX271" s="808"/>
      <c r="CY271" s="808"/>
      <c r="CZ271" s="808"/>
      <c r="DA271" s="808"/>
      <c r="DB271" s="808"/>
      <c r="DC271" s="808"/>
      <c r="DD271" s="808"/>
      <c r="DE271" s="808"/>
      <c r="DF271" s="808"/>
      <c r="DG271" s="808"/>
      <c r="DH271" s="808"/>
      <c r="DI271" s="808"/>
      <c r="DJ271" s="808"/>
      <c r="DK271" s="808"/>
      <c r="DL271" s="808"/>
      <c r="DM271" s="808"/>
      <c r="DN271" s="808"/>
      <c r="DO271" s="808"/>
      <c r="DP271" s="808"/>
    </row>
    <row r="272" spans="1:120">
      <c r="A272" s="821"/>
      <c r="B272" s="813" t="s">
        <v>947</v>
      </c>
      <c r="C272" s="814" t="s">
        <v>1324</v>
      </c>
      <c r="D272" s="815">
        <v>0</v>
      </c>
      <c r="E272" s="815">
        <v>0</v>
      </c>
      <c r="K272" s="808"/>
      <c r="M272" s="808"/>
      <c r="N272" s="808"/>
      <c r="O272" s="808"/>
      <c r="P272" s="808"/>
      <c r="Q272" s="808"/>
      <c r="R272" s="808"/>
      <c r="S272" s="808"/>
      <c r="T272" s="808"/>
      <c r="U272" s="808"/>
      <c r="V272" s="808"/>
      <c r="W272" s="808"/>
      <c r="X272" s="808"/>
      <c r="Y272" s="808"/>
      <c r="Z272" s="808"/>
      <c r="AA272" s="808"/>
      <c r="AB272" s="808"/>
      <c r="AC272" s="808"/>
      <c r="AD272" s="808"/>
      <c r="AE272" s="808"/>
      <c r="AF272" s="808"/>
      <c r="AG272" s="808"/>
      <c r="AH272" s="808"/>
      <c r="AI272" s="808"/>
      <c r="AJ272" s="808"/>
      <c r="AK272" s="808"/>
      <c r="AL272" s="808"/>
      <c r="AM272" s="808"/>
      <c r="AN272" s="808"/>
      <c r="AO272" s="808"/>
      <c r="AP272" s="808"/>
      <c r="AQ272" s="808"/>
      <c r="AR272" s="808"/>
      <c r="AS272" s="808"/>
      <c r="AT272" s="808"/>
      <c r="AU272" s="808"/>
      <c r="AV272" s="808"/>
      <c r="AW272" s="808"/>
      <c r="AX272" s="808"/>
      <c r="AY272" s="808"/>
      <c r="AZ272" s="808"/>
      <c r="BA272" s="808"/>
      <c r="BB272" s="808"/>
      <c r="BC272" s="808"/>
      <c r="BD272" s="808"/>
      <c r="BE272" s="808"/>
      <c r="BF272" s="808"/>
      <c r="BG272" s="808"/>
      <c r="BH272" s="808"/>
      <c r="BI272" s="808"/>
      <c r="BJ272" s="808"/>
      <c r="BK272" s="808"/>
      <c r="BL272" s="808"/>
      <c r="BM272" s="808"/>
      <c r="BN272" s="808"/>
      <c r="BO272" s="808"/>
      <c r="BP272" s="808"/>
      <c r="BQ272" s="808"/>
      <c r="BR272" s="808"/>
      <c r="BS272" s="808"/>
      <c r="BT272" s="808"/>
      <c r="BU272" s="808"/>
      <c r="BV272" s="808"/>
      <c r="BW272" s="808"/>
      <c r="BX272" s="808"/>
      <c r="BY272" s="808"/>
      <c r="BZ272" s="808"/>
      <c r="CA272" s="808"/>
      <c r="CB272" s="808"/>
      <c r="CC272" s="808"/>
      <c r="CD272" s="808"/>
      <c r="CE272" s="808"/>
      <c r="CF272" s="808"/>
      <c r="CG272" s="808"/>
      <c r="CH272" s="808"/>
      <c r="CI272" s="808"/>
      <c r="CJ272" s="808"/>
      <c r="CK272" s="808"/>
      <c r="CL272" s="808"/>
      <c r="CM272" s="808"/>
      <c r="CN272" s="808"/>
      <c r="CO272" s="808"/>
      <c r="CP272" s="808"/>
      <c r="CQ272" s="808"/>
      <c r="CR272" s="808"/>
      <c r="CS272" s="808"/>
      <c r="CT272" s="808"/>
      <c r="CU272" s="808"/>
      <c r="CV272" s="808"/>
      <c r="CW272" s="808"/>
      <c r="CX272" s="808"/>
      <c r="CY272" s="808"/>
      <c r="CZ272" s="808"/>
      <c r="DA272" s="808"/>
      <c r="DB272" s="808"/>
      <c r="DC272" s="808"/>
      <c r="DD272" s="808"/>
      <c r="DE272" s="808"/>
      <c r="DF272" s="808"/>
      <c r="DG272" s="808"/>
      <c r="DH272" s="808"/>
      <c r="DI272" s="808"/>
      <c r="DJ272" s="808"/>
      <c r="DK272" s="808"/>
      <c r="DL272" s="808"/>
      <c r="DM272" s="808"/>
      <c r="DN272" s="808"/>
      <c r="DO272" s="808"/>
      <c r="DP272" s="808"/>
    </row>
    <row r="273" spans="1:120">
      <c r="A273" s="821"/>
      <c r="B273" s="813" t="s">
        <v>947</v>
      </c>
      <c r="C273" s="814" t="s">
        <v>61</v>
      </c>
      <c r="D273" s="815">
        <v>0</v>
      </c>
      <c r="E273" s="815">
        <v>0</v>
      </c>
      <c r="K273" s="808"/>
      <c r="M273" s="808"/>
      <c r="N273" s="808"/>
      <c r="O273" s="808"/>
      <c r="P273" s="808"/>
      <c r="Q273" s="808"/>
      <c r="R273" s="808"/>
      <c r="S273" s="808"/>
      <c r="T273" s="808"/>
      <c r="U273" s="808"/>
      <c r="V273" s="808"/>
      <c r="W273" s="808"/>
      <c r="X273" s="808"/>
      <c r="Y273" s="808"/>
      <c r="Z273" s="808"/>
      <c r="AA273" s="808"/>
      <c r="AB273" s="808"/>
      <c r="AC273" s="808"/>
      <c r="AD273" s="808"/>
      <c r="AE273" s="808"/>
      <c r="AF273" s="808"/>
      <c r="AG273" s="808"/>
      <c r="AH273" s="808"/>
      <c r="AI273" s="808"/>
      <c r="AJ273" s="808"/>
      <c r="AK273" s="808"/>
      <c r="AL273" s="808"/>
      <c r="AM273" s="808"/>
      <c r="AN273" s="808"/>
      <c r="AO273" s="808"/>
      <c r="AP273" s="808"/>
      <c r="AQ273" s="808"/>
      <c r="AR273" s="808"/>
      <c r="AS273" s="808"/>
      <c r="AT273" s="808"/>
      <c r="AU273" s="808"/>
      <c r="AV273" s="808"/>
      <c r="AW273" s="808"/>
      <c r="AX273" s="808"/>
      <c r="AY273" s="808"/>
      <c r="AZ273" s="808"/>
      <c r="BA273" s="808"/>
      <c r="BB273" s="808"/>
      <c r="BC273" s="808"/>
      <c r="BD273" s="808"/>
      <c r="BE273" s="808"/>
      <c r="BF273" s="808"/>
      <c r="BG273" s="808"/>
      <c r="BH273" s="808"/>
      <c r="BI273" s="808"/>
      <c r="BJ273" s="808"/>
      <c r="BK273" s="808"/>
      <c r="BL273" s="808"/>
      <c r="BM273" s="808"/>
      <c r="BN273" s="808"/>
      <c r="BO273" s="808"/>
      <c r="BP273" s="808"/>
      <c r="BQ273" s="808"/>
      <c r="BR273" s="808"/>
      <c r="BS273" s="808"/>
      <c r="BT273" s="808"/>
      <c r="BU273" s="808"/>
      <c r="BV273" s="808"/>
      <c r="BW273" s="808"/>
      <c r="BX273" s="808"/>
      <c r="BY273" s="808"/>
      <c r="BZ273" s="808"/>
      <c r="CA273" s="808"/>
      <c r="CB273" s="808"/>
      <c r="CC273" s="808"/>
      <c r="CD273" s="808"/>
      <c r="CE273" s="808"/>
      <c r="CF273" s="808"/>
      <c r="CG273" s="808"/>
      <c r="CH273" s="808"/>
      <c r="CI273" s="808"/>
      <c r="CJ273" s="808"/>
      <c r="CK273" s="808"/>
      <c r="CL273" s="808"/>
      <c r="CM273" s="808"/>
      <c r="CN273" s="808"/>
      <c r="CO273" s="808"/>
      <c r="CP273" s="808"/>
      <c r="CQ273" s="808"/>
      <c r="CR273" s="808"/>
      <c r="CS273" s="808"/>
      <c r="CT273" s="808"/>
      <c r="CU273" s="808"/>
      <c r="CV273" s="808"/>
      <c r="CW273" s="808"/>
      <c r="CX273" s="808"/>
      <c r="CY273" s="808"/>
      <c r="CZ273" s="808"/>
      <c r="DA273" s="808"/>
      <c r="DB273" s="808"/>
      <c r="DC273" s="808"/>
      <c r="DD273" s="808"/>
      <c r="DE273" s="808"/>
      <c r="DF273" s="808"/>
      <c r="DG273" s="808"/>
      <c r="DH273" s="808"/>
      <c r="DI273" s="808"/>
      <c r="DJ273" s="808"/>
      <c r="DK273" s="808"/>
      <c r="DL273" s="808"/>
      <c r="DM273" s="808"/>
      <c r="DN273" s="808"/>
      <c r="DO273" s="808"/>
      <c r="DP273" s="808"/>
    </row>
    <row r="274" spans="1:120">
      <c r="A274" s="821"/>
      <c r="B274" s="813" t="s">
        <v>962</v>
      </c>
      <c r="C274" s="816" t="s">
        <v>82</v>
      </c>
      <c r="D274" s="815">
        <f>+D270</f>
        <v>82755.600000000006</v>
      </c>
      <c r="E274" s="815">
        <f>+E270</f>
        <v>841754.06970340014</v>
      </c>
      <c r="K274" s="808"/>
      <c r="M274" s="808"/>
      <c r="N274" s="808"/>
      <c r="O274" s="808"/>
      <c r="P274" s="808"/>
      <c r="Q274" s="808"/>
      <c r="R274" s="808"/>
      <c r="S274" s="808"/>
      <c r="T274" s="808"/>
      <c r="U274" s="808"/>
      <c r="V274" s="808"/>
      <c r="W274" s="808"/>
      <c r="X274" s="808"/>
      <c r="Y274" s="808"/>
      <c r="Z274" s="808"/>
      <c r="AA274" s="808"/>
      <c r="AB274" s="808"/>
      <c r="AC274" s="808"/>
      <c r="AD274" s="808"/>
      <c r="AE274" s="808"/>
      <c r="AF274" s="808"/>
      <c r="AG274" s="808"/>
      <c r="AH274" s="808"/>
      <c r="AI274" s="808"/>
      <c r="AJ274" s="808"/>
      <c r="AK274" s="808"/>
      <c r="AL274" s="808"/>
      <c r="AM274" s="808"/>
      <c r="AN274" s="808"/>
      <c r="AO274" s="808"/>
      <c r="AP274" s="808"/>
      <c r="AQ274" s="808"/>
      <c r="AR274" s="808"/>
      <c r="AS274" s="808"/>
      <c r="AT274" s="808"/>
      <c r="AU274" s="808"/>
      <c r="AV274" s="808"/>
      <c r="AW274" s="808"/>
      <c r="AX274" s="808"/>
      <c r="AY274" s="808"/>
      <c r="AZ274" s="808"/>
      <c r="BA274" s="808"/>
      <c r="BB274" s="808"/>
      <c r="BC274" s="808"/>
      <c r="BD274" s="808"/>
      <c r="BE274" s="808"/>
      <c r="BF274" s="808"/>
      <c r="BG274" s="808"/>
      <c r="BH274" s="808"/>
      <c r="BI274" s="808"/>
      <c r="BJ274" s="808"/>
      <c r="BK274" s="808"/>
      <c r="BL274" s="808"/>
      <c r="BM274" s="808"/>
      <c r="BN274" s="808"/>
      <c r="BO274" s="808"/>
      <c r="BP274" s="808"/>
      <c r="BQ274" s="808"/>
      <c r="BR274" s="808"/>
      <c r="BS274" s="808"/>
      <c r="BT274" s="808"/>
      <c r="BU274" s="808"/>
      <c r="BV274" s="808"/>
      <c r="BW274" s="808"/>
      <c r="BX274" s="808"/>
      <c r="BY274" s="808"/>
      <c r="BZ274" s="808"/>
      <c r="CA274" s="808"/>
      <c r="CB274" s="808"/>
      <c r="CC274" s="808"/>
      <c r="CD274" s="808"/>
      <c r="CE274" s="808"/>
      <c r="CF274" s="808"/>
      <c r="CG274" s="808"/>
      <c r="CH274" s="808"/>
      <c r="CI274" s="808"/>
      <c r="CJ274" s="808"/>
      <c r="CK274" s="808"/>
      <c r="CL274" s="808"/>
      <c r="CM274" s="808"/>
      <c r="CN274" s="808"/>
      <c r="CO274" s="808"/>
      <c r="CP274" s="808"/>
      <c r="CQ274" s="808"/>
      <c r="CR274" s="808"/>
      <c r="CS274" s="808"/>
      <c r="CT274" s="808"/>
      <c r="CU274" s="808"/>
      <c r="CV274" s="808"/>
      <c r="CW274" s="808"/>
      <c r="CX274" s="808"/>
      <c r="CY274" s="808"/>
      <c r="CZ274" s="808"/>
      <c r="DA274" s="808"/>
      <c r="DB274" s="808"/>
      <c r="DC274" s="808"/>
      <c r="DD274" s="808"/>
      <c r="DE274" s="808"/>
      <c r="DF274" s="808"/>
      <c r="DG274" s="808"/>
      <c r="DH274" s="808"/>
      <c r="DI274" s="808"/>
      <c r="DJ274" s="808"/>
      <c r="DK274" s="808"/>
      <c r="DL274" s="808"/>
      <c r="DM274" s="808"/>
      <c r="DN274" s="808"/>
      <c r="DO274" s="808"/>
      <c r="DP274" s="808"/>
    </row>
    <row r="275" spans="1:120">
      <c r="A275" s="821" t="s">
        <v>1201</v>
      </c>
      <c r="B275" s="807" t="s">
        <v>1201</v>
      </c>
      <c r="C275" s="808" t="s">
        <v>1201</v>
      </c>
      <c r="D275" s="214">
        <f>+D274-income!C14/1000</f>
        <v>-593523.27579011209</v>
      </c>
      <c r="E275" s="214">
        <f>+E274-income!D14/1000</f>
        <v>0</v>
      </c>
      <c r="K275" s="808"/>
      <c r="M275" s="808"/>
      <c r="N275" s="808"/>
      <c r="O275" s="808"/>
      <c r="P275" s="808"/>
      <c r="Q275" s="808"/>
      <c r="R275" s="808"/>
      <c r="S275" s="808"/>
      <c r="T275" s="808"/>
      <c r="U275" s="808"/>
      <c r="V275" s="808"/>
      <c r="W275" s="808"/>
      <c r="X275" s="808"/>
      <c r="Y275" s="808"/>
      <c r="Z275" s="808"/>
      <c r="AA275" s="808"/>
      <c r="AB275" s="808"/>
      <c r="AC275" s="808"/>
      <c r="AD275" s="808"/>
      <c r="AE275" s="808"/>
      <c r="AF275" s="808"/>
      <c r="AG275" s="808"/>
      <c r="AH275" s="808"/>
      <c r="AI275" s="808"/>
      <c r="AJ275" s="808"/>
      <c r="AK275" s="808"/>
      <c r="AL275" s="808"/>
      <c r="AM275" s="808"/>
      <c r="AN275" s="808"/>
      <c r="AO275" s="808"/>
      <c r="AP275" s="808"/>
      <c r="AQ275" s="808"/>
      <c r="AR275" s="808"/>
      <c r="AS275" s="808"/>
      <c r="AT275" s="808"/>
      <c r="AU275" s="808"/>
      <c r="AV275" s="808"/>
      <c r="AW275" s="808"/>
      <c r="AX275" s="808"/>
      <c r="AY275" s="808"/>
      <c r="AZ275" s="808"/>
      <c r="BA275" s="808"/>
      <c r="BB275" s="808"/>
      <c r="BC275" s="808"/>
      <c r="BD275" s="808"/>
      <c r="BE275" s="808"/>
      <c r="BF275" s="808"/>
      <c r="BG275" s="808"/>
      <c r="BH275" s="808"/>
      <c r="BI275" s="808"/>
      <c r="BJ275" s="808"/>
      <c r="BK275" s="808"/>
      <c r="BL275" s="808"/>
      <c r="BM275" s="808"/>
      <c r="BN275" s="808"/>
      <c r="BO275" s="808"/>
      <c r="BP275" s="984"/>
      <c r="BQ275" s="984"/>
      <c r="BR275" s="984"/>
      <c r="BS275" s="984"/>
      <c r="BT275" s="984"/>
      <c r="BU275" s="984"/>
      <c r="BV275" s="984"/>
      <c r="BW275" s="984"/>
      <c r="BX275" s="984"/>
      <c r="BY275" s="984"/>
      <c r="BZ275" s="984"/>
      <c r="CA275" s="984"/>
      <c r="CB275" s="984"/>
      <c r="CC275" s="984"/>
      <c r="CD275" s="984"/>
      <c r="CE275" s="984"/>
      <c r="CF275" s="984"/>
      <c r="CG275" s="984"/>
      <c r="CH275" s="984"/>
      <c r="CI275" s="984"/>
      <c r="CJ275" s="984"/>
      <c r="CK275" s="984"/>
      <c r="CL275" s="984"/>
      <c r="CM275" s="984"/>
      <c r="CN275" s="984"/>
      <c r="CO275" s="984"/>
      <c r="CP275" s="984"/>
      <c r="CQ275" s="984"/>
      <c r="CR275" s="984"/>
      <c r="CS275" s="984"/>
      <c r="CT275" s="984"/>
      <c r="CU275" s="984"/>
      <c r="CV275" s="984"/>
      <c r="CW275" s="984"/>
      <c r="CX275" s="984"/>
      <c r="CY275" s="984"/>
      <c r="CZ275" s="984"/>
      <c r="DA275" s="984"/>
      <c r="DB275" s="984"/>
      <c r="DC275" s="984"/>
      <c r="DD275" s="984"/>
      <c r="DE275" s="984"/>
      <c r="DF275" s="984"/>
      <c r="DG275" s="984"/>
      <c r="DH275" s="984"/>
      <c r="DI275" s="984"/>
      <c r="DJ275" s="984"/>
      <c r="DK275" s="984"/>
      <c r="DL275" s="984"/>
      <c r="DM275" s="984"/>
      <c r="DN275" s="984"/>
      <c r="DO275" s="984"/>
      <c r="DP275" s="984"/>
    </row>
    <row r="276" spans="1:120">
      <c r="A276" s="821"/>
      <c r="B276" s="809"/>
      <c r="C276" s="809" t="s">
        <v>1325</v>
      </c>
      <c r="K276" s="808"/>
      <c r="M276" s="808"/>
      <c r="N276" s="808"/>
      <c r="O276" s="808"/>
      <c r="P276" s="808"/>
      <c r="Q276" s="808"/>
      <c r="R276" s="808"/>
      <c r="S276" s="808"/>
      <c r="T276" s="808"/>
      <c r="U276" s="808"/>
      <c r="V276" s="808"/>
      <c r="W276" s="808"/>
      <c r="X276" s="808"/>
      <c r="Y276" s="808"/>
      <c r="Z276" s="808"/>
      <c r="AA276" s="808"/>
      <c r="AB276" s="808"/>
      <c r="AC276" s="808"/>
      <c r="AD276" s="808"/>
      <c r="AE276" s="808"/>
      <c r="AF276" s="808"/>
      <c r="AG276" s="808"/>
      <c r="AH276" s="808"/>
      <c r="AI276" s="808"/>
      <c r="AJ276" s="808"/>
      <c r="AK276" s="808"/>
      <c r="AL276" s="808"/>
      <c r="AM276" s="808"/>
      <c r="AN276" s="808"/>
      <c r="AO276" s="808"/>
      <c r="AP276" s="808"/>
      <c r="AQ276" s="808"/>
      <c r="AR276" s="808"/>
      <c r="AS276" s="808"/>
      <c r="AT276" s="808"/>
      <c r="AU276" s="808"/>
      <c r="AV276" s="808"/>
      <c r="AW276" s="808"/>
      <c r="AX276" s="808"/>
      <c r="AY276" s="808"/>
      <c r="AZ276" s="808"/>
      <c r="BA276" s="808"/>
      <c r="BB276" s="808"/>
      <c r="BC276" s="808"/>
      <c r="BD276" s="808"/>
      <c r="BE276" s="808"/>
      <c r="BF276" s="808"/>
      <c r="BG276" s="808"/>
      <c r="BH276" s="808"/>
      <c r="BI276" s="808"/>
      <c r="BJ276" s="808"/>
      <c r="BK276" s="808"/>
      <c r="BL276" s="808"/>
      <c r="BM276" s="808"/>
      <c r="BN276" s="808"/>
      <c r="BO276" s="808"/>
      <c r="BP276" s="808"/>
      <c r="BQ276" s="808"/>
      <c r="BR276" s="808"/>
      <c r="BS276" s="808"/>
      <c r="BT276" s="808"/>
      <c r="BU276" s="808"/>
      <c r="BV276" s="808"/>
      <c r="BW276" s="808"/>
      <c r="BX276" s="808"/>
      <c r="BY276" s="808"/>
      <c r="BZ276" s="808"/>
      <c r="CA276" s="808"/>
      <c r="CB276" s="808"/>
      <c r="CC276" s="808"/>
      <c r="CD276" s="808"/>
      <c r="CE276" s="808"/>
      <c r="CF276" s="808"/>
      <c r="CG276" s="808"/>
      <c r="CH276" s="808"/>
      <c r="CI276" s="808"/>
      <c r="CJ276" s="808"/>
      <c r="CK276" s="808"/>
      <c r="CL276" s="808"/>
      <c r="CM276" s="808"/>
      <c r="CN276" s="808"/>
      <c r="CO276" s="808"/>
      <c r="CP276" s="808"/>
      <c r="CQ276" s="808"/>
      <c r="CR276" s="808"/>
      <c r="CS276" s="808"/>
      <c r="CT276" s="808"/>
      <c r="CU276" s="808"/>
      <c r="CV276" s="808"/>
      <c r="CW276" s="808"/>
      <c r="CX276" s="808"/>
      <c r="CY276" s="808"/>
      <c r="CZ276" s="808"/>
      <c r="DA276" s="808"/>
      <c r="DB276" s="808"/>
      <c r="DC276" s="808"/>
      <c r="DD276" s="808"/>
      <c r="DE276" s="808"/>
      <c r="DF276" s="808"/>
      <c r="DG276" s="808"/>
      <c r="DH276" s="808"/>
      <c r="DI276" s="808"/>
      <c r="DJ276" s="808"/>
      <c r="DK276" s="808"/>
      <c r="DL276" s="808"/>
      <c r="DM276" s="808"/>
      <c r="DN276" s="808"/>
      <c r="DO276" s="808"/>
      <c r="DP276" s="808"/>
    </row>
    <row r="277" spans="1:120">
      <c r="A277" s="821"/>
      <c r="B277" s="807"/>
      <c r="C277" s="808"/>
      <c r="E277" s="810" t="s">
        <v>1203</v>
      </c>
      <c r="K277" s="808"/>
      <c r="M277" s="808"/>
      <c r="N277" s="808"/>
      <c r="O277" s="808"/>
      <c r="P277" s="808"/>
      <c r="Q277" s="808"/>
      <c r="R277" s="808"/>
      <c r="S277" s="808"/>
      <c r="T277" s="808"/>
      <c r="U277" s="808"/>
      <c r="V277" s="808"/>
      <c r="W277" s="808"/>
      <c r="X277" s="808"/>
      <c r="Y277" s="808"/>
      <c r="Z277" s="808"/>
      <c r="AA277" s="808"/>
      <c r="AB277" s="808"/>
      <c r="AC277" s="808"/>
      <c r="AD277" s="808"/>
      <c r="AE277" s="808"/>
      <c r="AF277" s="808"/>
      <c r="AG277" s="808"/>
      <c r="AH277" s="808"/>
      <c r="AI277" s="808"/>
      <c r="AJ277" s="808"/>
      <c r="AK277" s="808"/>
      <c r="AL277" s="808"/>
      <c r="AM277" s="808"/>
      <c r="AN277" s="808"/>
      <c r="AO277" s="808"/>
      <c r="AP277" s="808"/>
      <c r="AQ277" s="808"/>
      <c r="AR277" s="808"/>
      <c r="AS277" s="808"/>
      <c r="AT277" s="808"/>
      <c r="AU277" s="808"/>
      <c r="AV277" s="808"/>
      <c r="AW277" s="808"/>
      <c r="AX277" s="808"/>
      <c r="AY277" s="808"/>
      <c r="AZ277" s="808"/>
      <c r="BA277" s="808"/>
      <c r="BB277" s="808"/>
      <c r="BC277" s="808"/>
      <c r="BD277" s="808"/>
      <c r="BE277" s="808"/>
      <c r="BF277" s="808"/>
      <c r="BG277" s="808"/>
      <c r="BH277" s="808"/>
      <c r="BI277" s="808"/>
      <c r="BJ277" s="808"/>
      <c r="BK277" s="808"/>
      <c r="BL277" s="808"/>
      <c r="BM277" s="808"/>
      <c r="BN277" s="808"/>
      <c r="BO277" s="808"/>
      <c r="BP277" s="808"/>
      <c r="BQ277" s="808"/>
      <c r="BR277" s="808"/>
      <c r="BS277" s="808"/>
      <c r="BT277" s="808"/>
      <c r="BU277" s="808"/>
      <c r="BV277" s="808"/>
      <c r="BW277" s="808"/>
      <c r="BX277" s="808"/>
      <c r="BY277" s="808"/>
      <c r="BZ277" s="808"/>
      <c r="CA277" s="808"/>
      <c r="CB277" s="808"/>
      <c r="CC277" s="808"/>
      <c r="CD277" s="808"/>
      <c r="CE277" s="808"/>
      <c r="CF277" s="808"/>
      <c r="CG277" s="808"/>
      <c r="CH277" s="808"/>
      <c r="CI277" s="808"/>
      <c r="CJ277" s="808"/>
      <c r="CK277" s="808"/>
      <c r="CL277" s="808"/>
      <c r="CM277" s="808"/>
      <c r="CN277" s="808"/>
      <c r="CO277" s="808"/>
      <c r="CP277" s="808"/>
      <c r="CQ277" s="808"/>
      <c r="CR277" s="808"/>
      <c r="CS277" s="808"/>
      <c r="CT277" s="808"/>
      <c r="CU277" s="808"/>
      <c r="CV277" s="808"/>
      <c r="CW277" s="808"/>
      <c r="CX277" s="808"/>
      <c r="CY277" s="808"/>
      <c r="CZ277" s="808"/>
      <c r="DA277" s="808"/>
      <c r="DB277" s="808"/>
      <c r="DC277" s="808"/>
      <c r="DD277" s="808"/>
      <c r="DE277" s="808"/>
      <c r="DF277" s="808"/>
      <c r="DG277" s="808"/>
      <c r="DH277" s="808"/>
      <c r="DI277" s="808"/>
      <c r="DJ277" s="808"/>
      <c r="DK277" s="808"/>
      <c r="DL277" s="808"/>
      <c r="DM277" s="808"/>
      <c r="DN277" s="808"/>
      <c r="DO277" s="808"/>
      <c r="DP277" s="808"/>
    </row>
    <row r="278" spans="1:120">
      <c r="A278" s="821"/>
      <c r="B278" s="843" t="s">
        <v>79</v>
      </c>
      <c r="C278" s="843" t="s">
        <v>5</v>
      </c>
      <c r="D278" s="844" t="s">
        <v>194</v>
      </c>
      <c r="E278" s="844" t="s">
        <v>195</v>
      </c>
      <c r="K278" s="808"/>
      <c r="M278" s="808"/>
      <c r="N278" s="808"/>
      <c r="O278" s="808"/>
      <c r="P278" s="808"/>
      <c r="Q278" s="808"/>
      <c r="R278" s="808"/>
      <c r="S278" s="808"/>
      <c r="T278" s="808"/>
      <c r="U278" s="808"/>
      <c r="V278" s="808"/>
      <c r="W278" s="808"/>
      <c r="X278" s="808"/>
      <c r="Y278" s="808"/>
      <c r="Z278" s="808"/>
      <c r="AA278" s="808"/>
      <c r="AB278" s="808"/>
      <c r="AC278" s="808"/>
      <c r="AD278" s="808"/>
      <c r="AE278" s="808"/>
      <c r="AF278" s="808"/>
      <c r="AG278" s="808"/>
      <c r="AH278" s="808"/>
      <c r="AI278" s="808"/>
      <c r="AJ278" s="808"/>
      <c r="AK278" s="808"/>
      <c r="AL278" s="808"/>
      <c r="AM278" s="808"/>
      <c r="AN278" s="808"/>
      <c r="AO278" s="808"/>
      <c r="AP278" s="808"/>
      <c r="AQ278" s="808"/>
      <c r="AR278" s="808"/>
      <c r="AS278" s="808"/>
      <c r="AT278" s="808"/>
      <c r="AU278" s="808"/>
      <c r="AV278" s="808"/>
      <c r="AW278" s="808"/>
      <c r="AX278" s="808"/>
      <c r="AY278" s="808"/>
      <c r="AZ278" s="808"/>
      <c r="BA278" s="808"/>
      <c r="BB278" s="808"/>
      <c r="BC278" s="808"/>
      <c r="BD278" s="808"/>
      <c r="BE278" s="808"/>
      <c r="BF278" s="808"/>
      <c r="BG278" s="808"/>
      <c r="BH278" s="808"/>
      <c r="BI278" s="808"/>
      <c r="BJ278" s="808"/>
      <c r="BK278" s="808"/>
      <c r="BL278" s="808"/>
      <c r="BM278" s="808"/>
      <c r="BN278" s="808"/>
      <c r="BO278" s="808"/>
      <c r="BP278" s="808"/>
      <c r="BQ278" s="808"/>
      <c r="BR278" s="808"/>
      <c r="BS278" s="808"/>
      <c r="BT278" s="808"/>
      <c r="BU278" s="808"/>
      <c r="BV278" s="808"/>
      <c r="BW278" s="808"/>
      <c r="BX278" s="808"/>
      <c r="BY278" s="808"/>
      <c r="BZ278" s="808"/>
      <c r="CA278" s="808"/>
      <c r="CB278" s="808"/>
      <c r="CC278" s="808"/>
      <c r="CD278" s="808"/>
      <c r="CE278" s="808"/>
      <c r="CF278" s="808"/>
      <c r="CG278" s="808"/>
      <c r="CH278" s="808"/>
      <c r="CI278" s="808"/>
      <c r="CJ278" s="808"/>
      <c r="CK278" s="808"/>
      <c r="CL278" s="808"/>
      <c r="CM278" s="808"/>
      <c r="CN278" s="808"/>
      <c r="CO278" s="808"/>
      <c r="CP278" s="808"/>
      <c r="CQ278" s="808"/>
      <c r="CR278" s="808"/>
      <c r="CS278" s="808"/>
      <c r="CT278" s="808"/>
      <c r="CU278" s="808"/>
      <c r="CV278" s="808"/>
      <c r="CW278" s="808"/>
      <c r="CX278" s="808"/>
      <c r="CY278" s="808"/>
      <c r="CZ278" s="808"/>
      <c r="DA278" s="808"/>
      <c r="DB278" s="808"/>
      <c r="DC278" s="808"/>
      <c r="DD278" s="808"/>
      <c r="DE278" s="808"/>
      <c r="DF278" s="808"/>
      <c r="DG278" s="808"/>
      <c r="DH278" s="808"/>
      <c r="DI278" s="808"/>
      <c r="DJ278" s="808"/>
      <c r="DK278" s="808"/>
      <c r="DL278" s="808"/>
      <c r="DM278" s="808"/>
      <c r="DN278" s="808"/>
      <c r="DO278" s="808"/>
      <c r="DP278" s="808"/>
    </row>
    <row r="279" spans="1:120">
      <c r="A279" s="821"/>
      <c r="B279" s="813" t="s">
        <v>1220</v>
      </c>
      <c r="C279" s="814" t="s">
        <v>1326</v>
      </c>
      <c r="D279" s="815">
        <v>241494.3</v>
      </c>
      <c r="E279" s="815">
        <f>+F279/1000</f>
        <v>-169704.53099999999</v>
      </c>
      <c r="F279" s="214">
        <f>30283771-199988302</f>
        <v>-169704531</v>
      </c>
      <c r="K279" s="808"/>
      <c r="M279" s="808"/>
      <c r="N279" s="808"/>
      <c r="O279" s="808"/>
      <c r="P279" s="808"/>
      <c r="Q279" s="808"/>
      <c r="R279" s="808"/>
      <c r="S279" s="808"/>
      <c r="T279" s="808"/>
      <c r="U279" s="808"/>
      <c r="V279" s="808"/>
      <c r="W279" s="808"/>
      <c r="X279" s="808"/>
      <c r="Y279" s="808"/>
      <c r="Z279" s="808"/>
      <c r="AA279" s="808"/>
      <c r="AB279" s="808"/>
      <c r="AC279" s="808"/>
      <c r="AD279" s="808"/>
      <c r="AE279" s="808"/>
      <c r="AF279" s="808"/>
      <c r="AG279" s="808"/>
      <c r="AH279" s="808"/>
      <c r="AI279" s="808"/>
      <c r="AJ279" s="808"/>
      <c r="AK279" s="808"/>
      <c r="AL279" s="808"/>
      <c r="AM279" s="808"/>
      <c r="AN279" s="808"/>
      <c r="AO279" s="808"/>
      <c r="AP279" s="808"/>
      <c r="AQ279" s="808"/>
      <c r="AR279" s="808"/>
      <c r="AS279" s="808"/>
      <c r="AT279" s="808"/>
      <c r="AU279" s="808"/>
      <c r="AV279" s="808"/>
      <c r="AW279" s="808"/>
      <c r="AX279" s="808"/>
      <c r="AY279" s="808"/>
      <c r="AZ279" s="808"/>
      <c r="BA279" s="808"/>
      <c r="BB279" s="808"/>
      <c r="BC279" s="808"/>
      <c r="BD279" s="808"/>
      <c r="BE279" s="808"/>
      <c r="BF279" s="808"/>
      <c r="BG279" s="808"/>
      <c r="BH279" s="808"/>
      <c r="BI279" s="808"/>
      <c r="BJ279" s="808"/>
      <c r="BK279" s="808"/>
      <c r="BL279" s="808"/>
      <c r="BM279" s="808"/>
      <c r="BN279" s="808"/>
      <c r="BO279" s="808"/>
      <c r="BP279" s="808"/>
      <c r="BQ279" s="808"/>
      <c r="BR279" s="808"/>
      <c r="BS279" s="808"/>
      <c r="BT279" s="808"/>
      <c r="BU279" s="808"/>
      <c r="BV279" s="808"/>
      <c r="BW279" s="808"/>
      <c r="BX279" s="808"/>
      <c r="BY279" s="808"/>
      <c r="BZ279" s="808"/>
      <c r="CA279" s="808"/>
      <c r="CB279" s="808"/>
      <c r="CC279" s="808"/>
      <c r="CD279" s="808"/>
      <c r="CE279" s="808"/>
      <c r="CF279" s="808"/>
      <c r="CG279" s="808"/>
      <c r="CH279" s="808"/>
      <c r="CI279" s="808"/>
      <c r="CJ279" s="808"/>
      <c r="CK279" s="808"/>
      <c r="CL279" s="808"/>
      <c r="CM279" s="808"/>
      <c r="CN279" s="808"/>
      <c r="CO279" s="808"/>
      <c r="CP279" s="808"/>
      <c r="CQ279" s="808"/>
      <c r="CR279" s="808"/>
      <c r="CS279" s="808"/>
      <c r="CT279" s="808"/>
      <c r="CU279" s="808"/>
      <c r="CV279" s="808"/>
      <c r="CW279" s="808"/>
      <c r="CX279" s="808"/>
      <c r="CY279" s="808"/>
      <c r="CZ279" s="808"/>
      <c r="DA279" s="808"/>
      <c r="DB279" s="808"/>
      <c r="DC279" s="808"/>
      <c r="DD279" s="808"/>
      <c r="DE279" s="808"/>
      <c r="DF279" s="808"/>
      <c r="DG279" s="808"/>
      <c r="DH279" s="808"/>
      <c r="DI279" s="808"/>
      <c r="DJ279" s="808"/>
      <c r="DK279" s="808"/>
      <c r="DL279" s="808"/>
      <c r="DM279" s="808"/>
      <c r="DN279" s="808"/>
      <c r="DO279" s="808"/>
      <c r="DP279" s="808"/>
    </row>
    <row r="280" spans="1:120">
      <c r="A280" s="821"/>
      <c r="B280" s="813" t="s">
        <v>1206</v>
      </c>
      <c r="C280" s="814" t="s">
        <v>1327</v>
      </c>
      <c r="D280" s="815">
        <v>-192029.6</v>
      </c>
      <c r="E280" s="815">
        <f>+F280/1000</f>
        <v>1229653.5900000001</v>
      </c>
      <c r="F280" s="214">
        <f>1479819198-250165608</f>
        <v>1229653590</v>
      </c>
      <c r="K280" s="808"/>
      <c r="M280" s="808"/>
      <c r="N280" s="808"/>
      <c r="O280" s="808"/>
      <c r="P280" s="808"/>
      <c r="Q280" s="808"/>
      <c r="R280" s="808"/>
      <c r="S280" s="808"/>
      <c r="T280" s="808"/>
      <c r="U280" s="808"/>
      <c r="V280" s="808"/>
      <c r="W280" s="808"/>
      <c r="X280" s="808"/>
      <c r="Y280" s="808"/>
      <c r="Z280" s="808"/>
      <c r="AA280" s="808"/>
      <c r="AB280" s="808"/>
      <c r="AC280" s="808"/>
      <c r="AD280" s="808"/>
      <c r="AE280" s="808"/>
      <c r="AF280" s="808"/>
      <c r="AG280" s="808"/>
      <c r="AH280" s="808"/>
      <c r="AI280" s="808"/>
      <c r="AJ280" s="808"/>
      <c r="AK280" s="808"/>
      <c r="AL280" s="808"/>
      <c r="AM280" s="808"/>
      <c r="AN280" s="808"/>
      <c r="AO280" s="808"/>
      <c r="AP280" s="808"/>
      <c r="AQ280" s="808"/>
      <c r="AR280" s="808"/>
      <c r="AS280" s="808"/>
      <c r="AT280" s="808"/>
      <c r="AU280" s="808"/>
      <c r="AV280" s="808"/>
      <c r="AW280" s="808"/>
      <c r="AX280" s="808"/>
      <c r="AY280" s="808"/>
      <c r="AZ280" s="808"/>
      <c r="BA280" s="808"/>
      <c r="BB280" s="808"/>
      <c r="BC280" s="808"/>
      <c r="BD280" s="808"/>
      <c r="BE280" s="808"/>
      <c r="BF280" s="808"/>
      <c r="BG280" s="808"/>
      <c r="BH280" s="808"/>
      <c r="BI280" s="808"/>
      <c r="BJ280" s="808"/>
      <c r="BK280" s="808"/>
      <c r="BL280" s="808"/>
      <c r="BM280" s="808"/>
      <c r="BN280" s="808"/>
      <c r="BO280" s="808"/>
      <c r="BP280" s="808"/>
      <c r="BQ280" s="808"/>
      <c r="BR280" s="808"/>
      <c r="BS280" s="808"/>
      <c r="BT280" s="808"/>
      <c r="BU280" s="808"/>
      <c r="BV280" s="808"/>
      <c r="BW280" s="808"/>
      <c r="BX280" s="808"/>
      <c r="BY280" s="808"/>
      <c r="BZ280" s="808"/>
      <c r="CA280" s="808"/>
      <c r="CB280" s="808"/>
      <c r="CC280" s="808"/>
      <c r="CD280" s="808"/>
      <c r="CE280" s="808"/>
      <c r="CF280" s="808"/>
      <c r="CG280" s="808"/>
      <c r="CH280" s="808"/>
      <c r="CI280" s="808"/>
      <c r="CJ280" s="808"/>
      <c r="CK280" s="808"/>
      <c r="CL280" s="808"/>
      <c r="CM280" s="808"/>
      <c r="CN280" s="808"/>
      <c r="CO280" s="808"/>
      <c r="CP280" s="808"/>
      <c r="CQ280" s="808"/>
      <c r="CR280" s="808"/>
      <c r="CS280" s="808"/>
      <c r="CT280" s="808"/>
      <c r="CU280" s="808"/>
      <c r="CV280" s="808"/>
      <c r="CW280" s="808"/>
      <c r="CX280" s="808"/>
      <c r="CY280" s="808"/>
      <c r="CZ280" s="808"/>
      <c r="DA280" s="808"/>
      <c r="DB280" s="808"/>
      <c r="DC280" s="808"/>
      <c r="DD280" s="808"/>
      <c r="DE280" s="808"/>
      <c r="DF280" s="808"/>
      <c r="DG280" s="808"/>
      <c r="DH280" s="808"/>
      <c r="DI280" s="808"/>
      <c r="DJ280" s="808"/>
      <c r="DK280" s="808"/>
      <c r="DL280" s="808"/>
      <c r="DM280" s="808"/>
      <c r="DN280" s="808"/>
      <c r="DO280" s="808"/>
      <c r="DP280" s="808"/>
    </row>
    <row r="281" spans="1:120" ht="26.4">
      <c r="A281" s="821"/>
      <c r="B281" s="813" t="s">
        <v>1273</v>
      </c>
      <c r="C281" s="814" t="s">
        <v>1328</v>
      </c>
      <c r="D281" s="815">
        <v>-823559.5</v>
      </c>
      <c r="E281" s="815">
        <f t="shared" ref="E281:E282" si="30">+F281/1000</f>
        <v>-6980194.068</v>
      </c>
      <c r="F281" s="214">
        <f>-5277297745-1702896323</f>
        <v>-6980194068</v>
      </c>
      <c r="K281" s="808"/>
      <c r="M281" s="808"/>
      <c r="N281" s="808"/>
      <c r="O281" s="808"/>
      <c r="P281" s="808"/>
      <c r="Q281" s="808"/>
      <c r="R281" s="808"/>
      <c r="S281" s="808"/>
      <c r="T281" s="808"/>
      <c r="U281" s="808"/>
      <c r="V281" s="808"/>
      <c r="W281" s="808"/>
      <c r="X281" s="808"/>
      <c r="Y281" s="808"/>
      <c r="Z281" s="808"/>
      <c r="AA281" s="808"/>
      <c r="AB281" s="808"/>
      <c r="AC281" s="808"/>
      <c r="AD281" s="808"/>
      <c r="AE281" s="808"/>
      <c r="AF281" s="808"/>
      <c r="AG281" s="808"/>
      <c r="AH281" s="808"/>
      <c r="AI281" s="808"/>
      <c r="AJ281" s="808"/>
      <c r="AK281" s="808"/>
      <c r="AL281" s="808"/>
      <c r="AM281" s="808"/>
      <c r="AN281" s="808"/>
      <c r="AO281" s="808"/>
      <c r="AP281" s="808"/>
      <c r="AQ281" s="808"/>
      <c r="AR281" s="808"/>
      <c r="AS281" s="808"/>
      <c r="AT281" s="808"/>
      <c r="AU281" s="808"/>
      <c r="AV281" s="808"/>
      <c r="AW281" s="808"/>
      <c r="AX281" s="808"/>
      <c r="AY281" s="808"/>
      <c r="AZ281" s="808"/>
      <c r="BA281" s="808"/>
      <c r="BB281" s="808"/>
      <c r="BC281" s="808"/>
      <c r="BD281" s="808"/>
      <c r="BE281" s="808"/>
      <c r="BF281" s="808"/>
      <c r="BG281" s="808"/>
      <c r="BH281" s="808"/>
      <c r="BI281" s="808"/>
      <c r="BJ281" s="808"/>
      <c r="BK281" s="808"/>
      <c r="BL281" s="808"/>
      <c r="BM281" s="808"/>
      <c r="BN281" s="808"/>
      <c r="BO281" s="808"/>
      <c r="BP281" s="808"/>
      <c r="BQ281" s="808"/>
      <c r="BR281" s="808"/>
      <c r="BS281" s="808"/>
      <c r="BT281" s="808"/>
      <c r="BU281" s="808"/>
      <c r="BV281" s="808"/>
      <c r="BW281" s="808"/>
      <c r="BX281" s="808"/>
      <c r="BY281" s="808"/>
      <c r="BZ281" s="808"/>
      <c r="CA281" s="808"/>
      <c r="CB281" s="808"/>
      <c r="CC281" s="808"/>
      <c r="CD281" s="808"/>
      <c r="CE281" s="808"/>
      <c r="CF281" s="808"/>
      <c r="CG281" s="808"/>
      <c r="CH281" s="808"/>
      <c r="CI281" s="808"/>
      <c r="CJ281" s="808"/>
      <c r="CK281" s="808"/>
      <c r="CL281" s="808"/>
      <c r="CM281" s="808"/>
      <c r="CN281" s="808"/>
      <c r="CO281" s="808"/>
      <c r="CP281" s="808"/>
      <c r="CQ281" s="808"/>
      <c r="CR281" s="808"/>
      <c r="CS281" s="808"/>
      <c r="CT281" s="808"/>
      <c r="CU281" s="808"/>
      <c r="CV281" s="808"/>
      <c r="CW281" s="808"/>
      <c r="CX281" s="808"/>
      <c r="CY281" s="808"/>
      <c r="CZ281" s="808"/>
      <c r="DA281" s="808"/>
      <c r="DB281" s="808"/>
      <c r="DC281" s="808"/>
      <c r="DD281" s="808"/>
      <c r="DE281" s="808"/>
      <c r="DF281" s="808"/>
      <c r="DG281" s="808"/>
      <c r="DH281" s="808"/>
      <c r="DI281" s="808"/>
      <c r="DJ281" s="808"/>
      <c r="DK281" s="808"/>
      <c r="DL281" s="808"/>
      <c r="DM281" s="808"/>
      <c r="DN281" s="808"/>
      <c r="DO281" s="808"/>
      <c r="DP281" s="808"/>
    </row>
    <row r="282" spans="1:120">
      <c r="A282" s="821"/>
      <c r="B282" s="813" t="s">
        <v>1278</v>
      </c>
      <c r="C282" s="814" t="s">
        <v>1329</v>
      </c>
      <c r="D282" s="815">
        <v>0</v>
      </c>
      <c r="E282" s="815">
        <f t="shared" si="30"/>
        <v>-460355.34830000001</v>
      </c>
      <c r="F282" s="214">
        <v>-460355348.30000001</v>
      </c>
      <c r="K282" s="808"/>
      <c r="M282" s="808"/>
      <c r="N282" s="808"/>
      <c r="O282" s="808"/>
      <c r="P282" s="808"/>
      <c r="Q282" s="808"/>
      <c r="R282" s="808"/>
      <c r="S282" s="808"/>
      <c r="T282" s="808"/>
      <c r="U282" s="808"/>
      <c r="V282" s="808"/>
      <c r="W282" s="808"/>
      <c r="X282" s="808"/>
      <c r="Y282" s="808"/>
      <c r="Z282" s="808"/>
      <c r="AA282" s="808"/>
      <c r="AB282" s="808"/>
      <c r="AC282" s="808"/>
      <c r="AD282" s="808"/>
      <c r="AE282" s="808"/>
      <c r="AF282" s="808"/>
      <c r="AG282" s="808"/>
      <c r="AH282" s="808"/>
      <c r="AI282" s="808"/>
      <c r="AJ282" s="808"/>
      <c r="AK282" s="808"/>
      <c r="AL282" s="808"/>
      <c r="AM282" s="808"/>
      <c r="AN282" s="808"/>
      <c r="AO282" s="808"/>
      <c r="AP282" s="808"/>
      <c r="AQ282" s="808"/>
      <c r="AR282" s="808"/>
      <c r="AS282" s="808"/>
      <c r="AT282" s="808"/>
      <c r="AU282" s="808"/>
      <c r="AV282" s="808"/>
      <c r="AW282" s="808"/>
      <c r="AX282" s="808"/>
      <c r="AY282" s="808"/>
      <c r="AZ282" s="808"/>
      <c r="BA282" s="808"/>
      <c r="BB282" s="808"/>
      <c r="BC282" s="808"/>
      <c r="BD282" s="808"/>
      <c r="BE282" s="808"/>
      <c r="BF282" s="808"/>
      <c r="BG282" s="808"/>
      <c r="BH282" s="808"/>
      <c r="BI282" s="808"/>
      <c r="BJ282" s="808"/>
      <c r="BK282" s="808"/>
      <c r="BL282" s="808"/>
      <c r="BM282" s="808"/>
      <c r="BN282" s="808"/>
      <c r="BO282" s="808"/>
      <c r="BP282" s="808"/>
      <c r="BQ282" s="808"/>
      <c r="BR282" s="808"/>
      <c r="BS282" s="808"/>
      <c r="BT282" s="808"/>
      <c r="BU282" s="808"/>
      <c r="BV282" s="808"/>
      <c r="BW282" s="808"/>
      <c r="BX282" s="808"/>
      <c r="BY282" s="808"/>
      <c r="BZ282" s="808"/>
      <c r="CA282" s="808"/>
      <c r="CB282" s="808"/>
      <c r="CC282" s="808"/>
      <c r="CD282" s="808"/>
      <c r="CE282" s="808"/>
      <c r="CF282" s="808"/>
      <c r="CG282" s="808"/>
      <c r="CH282" s="808"/>
      <c r="CI282" s="808"/>
      <c r="CJ282" s="808"/>
      <c r="CK282" s="808"/>
      <c r="CL282" s="808"/>
      <c r="CM282" s="808"/>
      <c r="CN282" s="808"/>
      <c r="CO282" s="808"/>
      <c r="CP282" s="808"/>
      <c r="CQ282" s="808"/>
      <c r="CR282" s="808"/>
      <c r="CS282" s="808"/>
      <c r="CT282" s="808"/>
      <c r="CU282" s="808"/>
      <c r="CV282" s="808"/>
      <c r="CW282" s="808"/>
      <c r="CX282" s="808"/>
      <c r="CY282" s="808"/>
      <c r="CZ282" s="808"/>
      <c r="DA282" s="808"/>
      <c r="DB282" s="808"/>
      <c r="DC282" s="808"/>
      <c r="DD282" s="808"/>
      <c r="DE282" s="808"/>
      <c r="DF282" s="808"/>
      <c r="DG282" s="808"/>
      <c r="DH282" s="808"/>
      <c r="DI282" s="808"/>
      <c r="DJ282" s="808"/>
      <c r="DK282" s="808"/>
      <c r="DL282" s="808"/>
      <c r="DM282" s="808"/>
      <c r="DN282" s="808"/>
      <c r="DO282" s="808"/>
      <c r="DP282" s="808"/>
    </row>
    <row r="283" spans="1:120">
      <c r="A283" s="821"/>
      <c r="B283" s="813" t="s">
        <v>1280</v>
      </c>
      <c r="C283" s="816" t="s">
        <v>82</v>
      </c>
      <c r="D283" s="815">
        <f>SUM(D279:D282)</f>
        <v>-774094.8</v>
      </c>
      <c r="E283" s="815">
        <f>SUM(E279:E282)</f>
        <v>-6380600.3572999993</v>
      </c>
      <c r="F283" s="214">
        <f>SUM(F279:F282)</f>
        <v>-6380600357.3000002</v>
      </c>
      <c r="K283" s="808"/>
      <c r="M283" s="808"/>
      <c r="N283" s="808"/>
      <c r="O283" s="808"/>
      <c r="P283" s="808"/>
      <c r="Q283" s="808"/>
      <c r="R283" s="808"/>
      <c r="S283" s="808"/>
      <c r="T283" s="808"/>
      <c r="U283" s="808"/>
      <c r="V283" s="808"/>
      <c r="W283" s="808"/>
      <c r="X283" s="808"/>
      <c r="Y283" s="808"/>
      <c r="Z283" s="808"/>
      <c r="AA283" s="808"/>
      <c r="AB283" s="808"/>
      <c r="AC283" s="808"/>
      <c r="AD283" s="808"/>
      <c r="AE283" s="808"/>
      <c r="AF283" s="808"/>
      <c r="AG283" s="808"/>
      <c r="AH283" s="808"/>
      <c r="AI283" s="808"/>
      <c r="AJ283" s="808"/>
      <c r="AK283" s="808"/>
      <c r="AL283" s="808"/>
      <c r="AM283" s="808"/>
      <c r="AN283" s="808"/>
      <c r="AO283" s="808"/>
      <c r="AP283" s="808"/>
      <c r="AQ283" s="808"/>
      <c r="AR283" s="808"/>
      <c r="AS283" s="808"/>
      <c r="AT283" s="808"/>
      <c r="AU283" s="808"/>
      <c r="AV283" s="808"/>
      <c r="AW283" s="808"/>
      <c r="AX283" s="808"/>
      <c r="AY283" s="808"/>
      <c r="AZ283" s="808"/>
      <c r="BA283" s="808"/>
      <c r="BB283" s="808"/>
      <c r="BC283" s="808"/>
      <c r="BD283" s="808"/>
      <c r="BE283" s="808"/>
      <c r="BF283" s="808"/>
      <c r="BG283" s="808"/>
      <c r="BH283" s="808"/>
      <c r="BI283" s="808"/>
      <c r="BJ283" s="808"/>
      <c r="BK283" s="808"/>
      <c r="BL283" s="808"/>
      <c r="BM283" s="808"/>
      <c r="BN283" s="808"/>
      <c r="BO283" s="808"/>
      <c r="BP283" s="808"/>
      <c r="BQ283" s="808"/>
      <c r="BR283" s="808"/>
      <c r="BS283" s="808"/>
      <c r="BT283" s="808"/>
      <c r="BU283" s="808"/>
      <c r="BV283" s="808"/>
      <c r="BW283" s="808"/>
      <c r="BX283" s="808"/>
      <c r="BY283" s="808"/>
      <c r="BZ283" s="808"/>
      <c r="CA283" s="808"/>
      <c r="CB283" s="808"/>
      <c r="CC283" s="808"/>
      <c r="CD283" s="808"/>
      <c r="CE283" s="808"/>
      <c r="CF283" s="808"/>
      <c r="CG283" s="808"/>
      <c r="CH283" s="808"/>
      <c r="CI283" s="808"/>
      <c r="CJ283" s="808"/>
      <c r="CK283" s="808"/>
      <c r="CL283" s="808"/>
      <c r="CM283" s="808"/>
      <c r="CN283" s="808"/>
      <c r="CO283" s="808"/>
      <c r="CP283" s="808"/>
      <c r="CQ283" s="808"/>
      <c r="CR283" s="808"/>
      <c r="CS283" s="808"/>
      <c r="CT283" s="808"/>
      <c r="CU283" s="808"/>
      <c r="CV283" s="808"/>
      <c r="CW283" s="808"/>
      <c r="CX283" s="808"/>
      <c r="CY283" s="808"/>
      <c r="CZ283" s="808"/>
      <c r="DA283" s="808"/>
      <c r="DB283" s="808"/>
      <c r="DC283" s="808"/>
      <c r="DD283" s="808"/>
      <c r="DE283" s="808"/>
      <c r="DF283" s="808"/>
      <c r="DG283" s="808"/>
      <c r="DH283" s="808"/>
      <c r="DI283" s="808"/>
      <c r="DJ283" s="808"/>
      <c r="DK283" s="808"/>
      <c r="DL283" s="808"/>
      <c r="DM283" s="808"/>
      <c r="DN283" s="808"/>
      <c r="DO283" s="808"/>
      <c r="DP283" s="808"/>
    </row>
    <row r="284" spans="1:120" hidden="1">
      <c r="A284" s="821" t="s">
        <v>1201</v>
      </c>
      <c r="B284" s="807" t="s">
        <v>1201</v>
      </c>
      <c r="C284" s="808" t="s">
        <v>1201</v>
      </c>
      <c r="D284" s="214">
        <f>+D283-income!C19/1000</f>
        <v>-3718156.1190581005</v>
      </c>
      <c r="E284" s="214">
        <f>+E283-income!D19/1000</f>
        <v>-1401744.6685966989</v>
      </c>
      <c r="K284" s="808"/>
      <c r="M284" s="808"/>
      <c r="N284" s="808"/>
      <c r="O284" s="808"/>
      <c r="P284" s="808"/>
      <c r="Q284" s="808"/>
      <c r="R284" s="808"/>
      <c r="S284" s="808"/>
      <c r="T284" s="808"/>
      <c r="U284" s="808"/>
      <c r="V284" s="808"/>
      <c r="W284" s="808"/>
      <c r="X284" s="808"/>
      <c r="Y284" s="808"/>
      <c r="Z284" s="808"/>
      <c r="AA284" s="808"/>
      <c r="AB284" s="808"/>
      <c r="AC284" s="808"/>
      <c r="AD284" s="808"/>
      <c r="AE284" s="808"/>
      <c r="AF284" s="808"/>
      <c r="AG284" s="808"/>
      <c r="AH284" s="808"/>
      <c r="AI284" s="808"/>
      <c r="AJ284" s="808"/>
      <c r="AK284" s="808"/>
      <c r="AL284" s="808"/>
      <c r="AM284" s="808"/>
      <c r="AN284" s="808"/>
      <c r="AO284" s="808"/>
      <c r="AP284" s="808"/>
      <c r="AQ284" s="808"/>
      <c r="AR284" s="808"/>
      <c r="AS284" s="808"/>
      <c r="AT284" s="808"/>
      <c r="AU284" s="808"/>
      <c r="AV284" s="808"/>
      <c r="AW284" s="808"/>
      <c r="AX284" s="808"/>
      <c r="AY284" s="808"/>
      <c r="AZ284" s="808"/>
      <c r="BA284" s="808"/>
      <c r="BB284" s="808"/>
      <c r="BC284" s="808"/>
      <c r="BD284" s="808"/>
      <c r="BE284" s="808"/>
      <c r="BF284" s="808"/>
      <c r="BG284" s="808"/>
      <c r="BH284" s="808"/>
      <c r="BI284" s="808"/>
      <c r="BJ284" s="808"/>
      <c r="BK284" s="808"/>
      <c r="BL284" s="808"/>
      <c r="BM284" s="808"/>
      <c r="BN284" s="808"/>
      <c r="BO284" s="808"/>
      <c r="BP284" s="984"/>
      <c r="BQ284" s="984"/>
      <c r="BR284" s="984"/>
      <c r="BS284" s="984"/>
      <c r="BT284" s="984"/>
      <c r="BU284" s="984"/>
      <c r="BV284" s="984"/>
      <c r="BW284" s="984"/>
      <c r="BX284" s="984"/>
      <c r="BY284" s="984"/>
      <c r="BZ284" s="984"/>
      <c r="CA284" s="984"/>
      <c r="CB284" s="984"/>
      <c r="CC284" s="984"/>
      <c r="CD284" s="984"/>
      <c r="CE284" s="984"/>
      <c r="CF284" s="984"/>
      <c r="CG284" s="984"/>
      <c r="CH284" s="984"/>
      <c r="CI284" s="984"/>
      <c r="CJ284" s="984"/>
      <c r="CK284" s="984"/>
      <c r="CL284" s="984"/>
      <c r="CM284" s="984"/>
      <c r="CN284" s="984"/>
      <c r="CO284" s="984"/>
      <c r="CP284" s="984"/>
      <c r="CQ284" s="984"/>
      <c r="CR284" s="984"/>
      <c r="CS284" s="984"/>
      <c r="CT284" s="984"/>
      <c r="CU284" s="984"/>
      <c r="CV284" s="984"/>
      <c r="CW284" s="984"/>
      <c r="CX284" s="984"/>
      <c r="CY284" s="984"/>
      <c r="CZ284" s="984"/>
      <c r="DA284" s="984"/>
      <c r="DB284" s="984"/>
      <c r="DC284" s="984"/>
      <c r="DD284" s="984"/>
      <c r="DE284" s="984"/>
      <c r="DF284" s="984"/>
      <c r="DG284" s="984"/>
      <c r="DH284" s="984"/>
      <c r="DI284" s="984"/>
      <c r="DJ284" s="984"/>
      <c r="DK284" s="984"/>
      <c r="DL284" s="984"/>
      <c r="DM284" s="984"/>
      <c r="DN284" s="984"/>
      <c r="DO284" s="984"/>
      <c r="DP284" s="984"/>
    </row>
    <row r="285" spans="1:120" hidden="1">
      <c r="A285" s="821"/>
      <c r="B285" s="809" t="s">
        <v>1330</v>
      </c>
      <c r="C285" s="808"/>
      <c r="K285" s="808"/>
      <c r="M285" s="808"/>
      <c r="N285" s="808"/>
      <c r="O285" s="808"/>
      <c r="P285" s="808"/>
      <c r="Q285" s="808"/>
      <c r="R285" s="808"/>
      <c r="S285" s="808"/>
      <c r="T285" s="808"/>
      <c r="U285" s="808"/>
      <c r="V285" s="808"/>
      <c r="W285" s="808"/>
      <c r="X285" s="808"/>
      <c r="Y285" s="808"/>
      <c r="Z285" s="808"/>
      <c r="AA285" s="808"/>
      <c r="AB285" s="808"/>
      <c r="AC285" s="808"/>
      <c r="AD285" s="808"/>
      <c r="AE285" s="808"/>
      <c r="AF285" s="808"/>
      <c r="AG285" s="808"/>
      <c r="AH285" s="808"/>
      <c r="AI285" s="808"/>
      <c r="AJ285" s="808"/>
      <c r="AK285" s="808"/>
      <c r="AL285" s="808"/>
      <c r="AM285" s="808"/>
      <c r="AN285" s="808"/>
      <c r="AO285" s="808"/>
      <c r="AP285" s="808"/>
      <c r="AQ285" s="808"/>
      <c r="AR285" s="808"/>
      <c r="AS285" s="808"/>
      <c r="AT285" s="808"/>
      <c r="AU285" s="808"/>
      <c r="AV285" s="808"/>
      <c r="AW285" s="808"/>
      <c r="AX285" s="808"/>
      <c r="AY285" s="808"/>
      <c r="AZ285" s="808"/>
      <c r="BA285" s="808"/>
      <c r="BB285" s="808"/>
      <c r="BC285" s="808"/>
      <c r="BD285" s="808"/>
      <c r="BE285" s="808"/>
      <c r="BF285" s="808"/>
      <c r="BG285" s="808"/>
      <c r="BH285" s="808"/>
      <c r="BI285" s="808"/>
      <c r="BJ285" s="808"/>
      <c r="BK285" s="808"/>
      <c r="BL285" s="808"/>
      <c r="BM285" s="808"/>
      <c r="BN285" s="808"/>
      <c r="BO285" s="808"/>
      <c r="BP285" s="808"/>
      <c r="BQ285" s="808"/>
      <c r="BR285" s="808"/>
      <c r="BS285" s="808"/>
      <c r="BT285" s="808"/>
      <c r="BU285" s="808"/>
      <c r="BV285" s="808"/>
      <c r="BW285" s="808"/>
      <c r="BX285" s="808"/>
      <c r="BY285" s="808"/>
      <c r="BZ285" s="808"/>
      <c r="CA285" s="808"/>
      <c r="CB285" s="808"/>
      <c r="CC285" s="808"/>
      <c r="CD285" s="808"/>
      <c r="CE285" s="808"/>
      <c r="CF285" s="808"/>
      <c r="CG285" s="808"/>
      <c r="CH285" s="808"/>
      <c r="CI285" s="808"/>
      <c r="CJ285" s="808"/>
      <c r="CK285" s="808"/>
      <c r="CL285" s="808"/>
      <c r="CM285" s="808"/>
      <c r="CN285" s="808"/>
      <c r="CO285" s="808"/>
      <c r="CP285" s="808"/>
      <c r="CQ285" s="808"/>
      <c r="CR285" s="808"/>
      <c r="CS285" s="808"/>
      <c r="CT285" s="808"/>
      <c r="CU285" s="808"/>
      <c r="CV285" s="808"/>
      <c r="CW285" s="808"/>
      <c r="CX285" s="808"/>
      <c r="CY285" s="808"/>
      <c r="CZ285" s="808"/>
      <c r="DA285" s="808"/>
      <c r="DB285" s="808"/>
      <c r="DC285" s="808"/>
      <c r="DD285" s="808"/>
      <c r="DE285" s="808"/>
      <c r="DF285" s="808"/>
      <c r="DG285" s="808"/>
      <c r="DH285" s="808"/>
      <c r="DI285" s="808"/>
      <c r="DJ285" s="808"/>
      <c r="DK285" s="808"/>
      <c r="DL285" s="808"/>
      <c r="DM285" s="808"/>
      <c r="DN285" s="808"/>
      <c r="DO285" s="808"/>
      <c r="DP285" s="808"/>
    </row>
    <row r="286" spans="1:120" hidden="1">
      <c r="A286" s="821"/>
      <c r="B286" s="807"/>
      <c r="C286" s="808"/>
      <c r="E286" s="810" t="s">
        <v>1203</v>
      </c>
      <c r="K286" s="808"/>
      <c r="M286" s="808"/>
      <c r="N286" s="808"/>
      <c r="O286" s="808"/>
      <c r="P286" s="808"/>
      <c r="Q286" s="808"/>
      <c r="R286" s="808"/>
      <c r="S286" s="808"/>
      <c r="T286" s="808"/>
      <c r="U286" s="808"/>
      <c r="V286" s="808"/>
      <c r="W286" s="808"/>
      <c r="X286" s="808"/>
      <c r="Y286" s="808"/>
      <c r="Z286" s="808"/>
      <c r="AA286" s="808"/>
      <c r="AB286" s="808"/>
      <c r="AC286" s="808"/>
      <c r="AD286" s="808"/>
      <c r="AE286" s="808"/>
      <c r="AF286" s="808"/>
      <c r="AG286" s="808"/>
      <c r="AH286" s="808"/>
      <c r="AI286" s="808"/>
      <c r="AJ286" s="808"/>
      <c r="AK286" s="808"/>
      <c r="AL286" s="808"/>
      <c r="AM286" s="808"/>
      <c r="AN286" s="808"/>
      <c r="AO286" s="808"/>
      <c r="AP286" s="808"/>
      <c r="AQ286" s="808"/>
      <c r="AR286" s="808"/>
      <c r="AS286" s="808"/>
      <c r="AT286" s="808"/>
      <c r="AU286" s="808"/>
      <c r="AV286" s="808"/>
      <c r="AW286" s="808"/>
      <c r="AX286" s="808"/>
      <c r="AY286" s="808"/>
      <c r="AZ286" s="808"/>
      <c r="BA286" s="808"/>
      <c r="BB286" s="808"/>
      <c r="BC286" s="808"/>
      <c r="BD286" s="808"/>
      <c r="BE286" s="808"/>
      <c r="BF286" s="808"/>
      <c r="BG286" s="808"/>
      <c r="BH286" s="808"/>
      <c r="BI286" s="808"/>
      <c r="BJ286" s="808"/>
      <c r="BK286" s="808"/>
      <c r="BL286" s="808"/>
      <c r="BM286" s="808"/>
      <c r="BN286" s="808"/>
      <c r="BO286" s="808"/>
      <c r="BP286" s="808"/>
      <c r="BQ286" s="808"/>
      <c r="BR286" s="808"/>
      <c r="BS286" s="808"/>
      <c r="BT286" s="808"/>
      <c r="BU286" s="808"/>
      <c r="BV286" s="808"/>
      <c r="BW286" s="808"/>
      <c r="BX286" s="808"/>
      <c r="BY286" s="808"/>
      <c r="BZ286" s="808"/>
      <c r="CA286" s="808"/>
      <c r="CB286" s="808"/>
      <c r="CC286" s="808"/>
      <c r="CD286" s="808"/>
      <c r="CE286" s="808"/>
      <c r="CF286" s="808"/>
      <c r="CG286" s="808"/>
      <c r="CH286" s="808"/>
      <c r="CI286" s="808"/>
      <c r="CJ286" s="808"/>
      <c r="CK286" s="808"/>
      <c r="CL286" s="808"/>
      <c r="CM286" s="808"/>
      <c r="CN286" s="808"/>
      <c r="CO286" s="808"/>
      <c r="CP286" s="808"/>
      <c r="CQ286" s="808"/>
      <c r="CR286" s="808"/>
      <c r="CS286" s="808"/>
      <c r="CT286" s="808"/>
      <c r="CU286" s="808"/>
      <c r="CV286" s="808"/>
      <c r="CW286" s="808"/>
      <c r="CX286" s="808"/>
      <c r="CY286" s="808"/>
      <c r="CZ286" s="808"/>
      <c r="DA286" s="808"/>
      <c r="DB286" s="808"/>
      <c r="DC286" s="808"/>
      <c r="DD286" s="808"/>
      <c r="DE286" s="808"/>
      <c r="DF286" s="808"/>
      <c r="DG286" s="808"/>
      <c r="DH286" s="808"/>
      <c r="DI286" s="808"/>
      <c r="DJ286" s="808"/>
      <c r="DK286" s="808"/>
      <c r="DL286" s="808"/>
      <c r="DM286" s="808"/>
      <c r="DN286" s="808"/>
      <c r="DO286" s="808"/>
      <c r="DP286" s="808"/>
    </row>
    <row r="287" spans="1:120" hidden="1">
      <c r="A287" s="821"/>
      <c r="B287" s="811" t="s">
        <v>79</v>
      </c>
      <c r="C287" s="811" t="s">
        <v>5</v>
      </c>
      <c r="D287" s="812" t="s">
        <v>194</v>
      </c>
      <c r="E287" s="812" t="s">
        <v>195</v>
      </c>
      <c r="K287" s="808"/>
      <c r="M287" s="808"/>
      <c r="N287" s="808"/>
      <c r="O287" s="808"/>
      <c r="P287" s="808"/>
      <c r="Q287" s="808"/>
      <c r="R287" s="808"/>
      <c r="S287" s="808"/>
      <c r="T287" s="808"/>
      <c r="U287" s="808"/>
      <c r="V287" s="808"/>
      <c r="W287" s="808"/>
      <c r="X287" s="808"/>
      <c r="Y287" s="808"/>
      <c r="Z287" s="808"/>
      <c r="AA287" s="808"/>
      <c r="AB287" s="808"/>
      <c r="AC287" s="808"/>
      <c r="AD287" s="808"/>
      <c r="AE287" s="808"/>
      <c r="AF287" s="808"/>
      <c r="AG287" s="808"/>
      <c r="AH287" s="808"/>
      <c r="AI287" s="808"/>
      <c r="AJ287" s="808"/>
      <c r="AK287" s="808"/>
      <c r="AL287" s="808"/>
      <c r="AM287" s="808"/>
      <c r="AN287" s="808"/>
      <c r="AO287" s="808"/>
      <c r="AP287" s="808"/>
      <c r="AQ287" s="808"/>
      <c r="AR287" s="808"/>
      <c r="AS287" s="808"/>
      <c r="AT287" s="808"/>
      <c r="AU287" s="808"/>
      <c r="AV287" s="808"/>
      <c r="AW287" s="808"/>
      <c r="AX287" s="808"/>
      <c r="AY287" s="808"/>
      <c r="AZ287" s="808"/>
      <c r="BA287" s="808"/>
      <c r="BB287" s="808"/>
      <c r="BC287" s="808"/>
      <c r="BD287" s="808"/>
      <c r="BE287" s="808"/>
      <c r="BF287" s="808"/>
      <c r="BG287" s="808"/>
      <c r="BH287" s="808"/>
      <c r="BI287" s="808"/>
      <c r="BJ287" s="808"/>
      <c r="BK287" s="808"/>
      <c r="BL287" s="808"/>
      <c r="BM287" s="808"/>
      <c r="BN287" s="808"/>
      <c r="BO287" s="808"/>
      <c r="BP287" s="808"/>
      <c r="BQ287" s="808"/>
      <c r="BR287" s="808"/>
      <c r="BS287" s="808"/>
      <c r="BT287" s="808"/>
      <c r="BU287" s="808"/>
      <c r="BV287" s="808"/>
      <c r="BW287" s="808"/>
      <c r="BX287" s="808"/>
      <c r="BY287" s="808"/>
      <c r="BZ287" s="808"/>
      <c r="CA287" s="808"/>
      <c r="CB287" s="808"/>
      <c r="CC287" s="808"/>
      <c r="CD287" s="808"/>
      <c r="CE287" s="808"/>
      <c r="CF287" s="808"/>
      <c r="CG287" s="808"/>
      <c r="CH287" s="808"/>
      <c r="CI287" s="808"/>
      <c r="CJ287" s="808"/>
      <c r="CK287" s="808"/>
      <c r="CL287" s="808"/>
      <c r="CM287" s="808"/>
      <c r="CN287" s="808"/>
      <c r="CO287" s="808"/>
      <c r="CP287" s="808"/>
      <c r="CQ287" s="808"/>
      <c r="CR287" s="808"/>
      <c r="CS287" s="808"/>
      <c r="CT287" s="808"/>
      <c r="CU287" s="808"/>
      <c r="CV287" s="808"/>
      <c r="CW287" s="808"/>
      <c r="CX287" s="808"/>
      <c r="CY287" s="808"/>
      <c r="CZ287" s="808"/>
      <c r="DA287" s="808"/>
      <c r="DB287" s="808"/>
      <c r="DC287" s="808"/>
      <c r="DD287" s="808"/>
      <c r="DE287" s="808"/>
      <c r="DF287" s="808"/>
      <c r="DG287" s="808"/>
      <c r="DH287" s="808"/>
      <c r="DI287" s="808"/>
      <c r="DJ287" s="808"/>
      <c r="DK287" s="808"/>
      <c r="DL287" s="808"/>
      <c r="DM287" s="808"/>
      <c r="DN287" s="808"/>
      <c r="DO287" s="808"/>
      <c r="DP287" s="808"/>
    </row>
    <row r="288" spans="1:120" hidden="1">
      <c r="A288" s="821"/>
      <c r="B288" s="813" t="s">
        <v>1220</v>
      </c>
      <c r="C288" s="814" t="s">
        <v>1331</v>
      </c>
      <c r="D288" s="815">
        <v>0</v>
      </c>
      <c r="E288" s="815">
        <v>0</v>
      </c>
      <c r="K288" s="808"/>
      <c r="M288" s="808"/>
      <c r="N288" s="808"/>
      <c r="O288" s="808"/>
      <c r="P288" s="808"/>
      <c r="Q288" s="808"/>
      <c r="R288" s="808"/>
      <c r="S288" s="808"/>
      <c r="T288" s="808"/>
      <c r="U288" s="808"/>
      <c r="V288" s="808"/>
      <c r="W288" s="808"/>
      <c r="X288" s="808"/>
      <c r="Y288" s="808"/>
      <c r="Z288" s="808"/>
      <c r="AA288" s="808"/>
      <c r="AB288" s="808"/>
      <c r="AC288" s="808"/>
      <c r="AD288" s="808"/>
      <c r="AE288" s="808"/>
      <c r="AF288" s="808"/>
      <c r="AG288" s="808"/>
      <c r="AH288" s="808"/>
      <c r="AI288" s="808"/>
      <c r="AJ288" s="808"/>
      <c r="AK288" s="808"/>
      <c r="AL288" s="808"/>
      <c r="AM288" s="808"/>
      <c r="AN288" s="808"/>
      <c r="AO288" s="808"/>
      <c r="AP288" s="808"/>
      <c r="AQ288" s="808"/>
      <c r="AR288" s="808"/>
      <c r="AS288" s="808"/>
      <c r="AT288" s="808"/>
      <c r="AU288" s="808"/>
      <c r="AV288" s="808"/>
      <c r="AW288" s="808"/>
      <c r="AX288" s="808"/>
      <c r="AY288" s="808"/>
      <c r="AZ288" s="808"/>
      <c r="BA288" s="808"/>
      <c r="BB288" s="808"/>
      <c r="BC288" s="808"/>
      <c r="BD288" s="808"/>
      <c r="BE288" s="808"/>
      <c r="BF288" s="808"/>
      <c r="BG288" s="808"/>
      <c r="BH288" s="808"/>
      <c r="BI288" s="808"/>
      <c r="BJ288" s="808"/>
      <c r="BK288" s="808"/>
      <c r="BL288" s="808"/>
      <c r="BM288" s="808"/>
      <c r="BN288" s="808"/>
      <c r="BO288" s="808"/>
      <c r="BP288" s="808"/>
      <c r="BQ288" s="808"/>
      <c r="BR288" s="808"/>
      <c r="BS288" s="808"/>
      <c r="BT288" s="808"/>
      <c r="BU288" s="808"/>
      <c r="BV288" s="808"/>
      <c r="BW288" s="808"/>
      <c r="BX288" s="808"/>
      <c r="BY288" s="808"/>
      <c r="BZ288" s="808"/>
      <c r="CA288" s="808"/>
      <c r="CB288" s="808"/>
      <c r="CC288" s="808"/>
      <c r="CD288" s="808"/>
      <c r="CE288" s="808"/>
      <c r="CF288" s="808"/>
      <c r="CG288" s="808"/>
      <c r="CH288" s="808"/>
      <c r="CI288" s="808"/>
      <c r="CJ288" s="808"/>
      <c r="CK288" s="808"/>
      <c r="CL288" s="808"/>
      <c r="CM288" s="808"/>
      <c r="CN288" s="808"/>
      <c r="CO288" s="808"/>
      <c r="CP288" s="808"/>
      <c r="CQ288" s="808"/>
      <c r="CR288" s="808"/>
      <c r="CS288" s="808"/>
      <c r="CT288" s="808"/>
      <c r="CU288" s="808"/>
      <c r="CV288" s="808"/>
      <c r="CW288" s="808"/>
      <c r="CX288" s="808"/>
      <c r="CY288" s="808"/>
      <c r="CZ288" s="808"/>
      <c r="DA288" s="808"/>
      <c r="DB288" s="808"/>
      <c r="DC288" s="808"/>
      <c r="DD288" s="808"/>
      <c r="DE288" s="808"/>
      <c r="DF288" s="808"/>
      <c r="DG288" s="808"/>
      <c r="DH288" s="808"/>
      <c r="DI288" s="808"/>
      <c r="DJ288" s="808"/>
      <c r="DK288" s="808"/>
      <c r="DL288" s="808"/>
      <c r="DM288" s="808"/>
      <c r="DN288" s="808"/>
      <c r="DO288" s="808"/>
      <c r="DP288" s="808"/>
    </row>
    <row r="289" spans="1:120" ht="26.4" hidden="1">
      <c r="A289" s="821"/>
      <c r="B289" s="813" t="s">
        <v>1206</v>
      </c>
      <c r="C289" s="814" t="s">
        <v>1332</v>
      </c>
      <c r="D289" s="815">
        <v>0</v>
      </c>
      <c r="E289" s="815">
        <v>0</v>
      </c>
      <c r="K289" s="808"/>
      <c r="M289" s="808"/>
      <c r="N289" s="808"/>
      <c r="O289" s="808"/>
      <c r="P289" s="808"/>
      <c r="Q289" s="808"/>
      <c r="R289" s="808"/>
      <c r="S289" s="808"/>
      <c r="T289" s="808"/>
      <c r="U289" s="808"/>
      <c r="V289" s="808"/>
      <c r="W289" s="808"/>
      <c r="X289" s="808"/>
      <c r="Y289" s="808"/>
      <c r="Z289" s="808"/>
      <c r="AA289" s="808"/>
      <c r="AB289" s="808"/>
      <c r="AC289" s="808"/>
      <c r="AD289" s="808"/>
      <c r="AE289" s="808"/>
      <c r="AF289" s="808"/>
      <c r="AG289" s="808"/>
      <c r="AH289" s="808"/>
      <c r="AI289" s="808"/>
      <c r="AJ289" s="808"/>
      <c r="AK289" s="808"/>
      <c r="AL289" s="808"/>
      <c r="AM289" s="808"/>
      <c r="AN289" s="808"/>
      <c r="AO289" s="808"/>
      <c r="AP289" s="808"/>
      <c r="AQ289" s="808"/>
      <c r="AR289" s="808"/>
      <c r="AS289" s="808"/>
      <c r="AT289" s="808"/>
      <c r="AU289" s="808"/>
      <c r="AV289" s="808"/>
      <c r="AW289" s="808"/>
      <c r="AX289" s="808"/>
      <c r="AY289" s="808"/>
      <c r="AZ289" s="808"/>
      <c r="BA289" s="808"/>
      <c r="BB289" s="808"/>
      <c r="BC289" s="808"/>
      <c r="BD289" s="808"/>
      <c r="BE289" s="808"/>
      <c r="BF289" s="808"/>
      <c r="BG289" s="808"/>
      <c r="BH289" s="808"/>
      <c r="BI289" s="808"/>
      <c r="BJ289" s="808"/>
      <c r="BK289" s="808"/>
      <c r="BL289" s="808"/>
      <c r="BM289" s="808"/>
      <c r="BN289" s="808"/>
      <c r="BO289" s="808"/>
      <c r="BP289" s="808"/>
      <c r="BQ289" s="808"/>
      <c r="BR289" s="808"/>
      <c r="BS289" s="808"/>
      <c r="BT289" s="808"/>
      <c r="BU289" s="808"/>
      <c r="BV289" s="808"/>
      <c r="BW289" s="808"/>
      <c r="BX289" s="808"/>
      <c r="BY289" s="808"/>
      <c r="BZ289" s="808"/>
      <c r="CA289" s="808"/>
      <c r="CB289" s="808"/>
      <c r="CC289" s="808"/>
      <c r="CD289" s="808"/>
      <c r="CE289" s="808"/>
      <c r="CF289" s="808"/>
      <c r="CG289" s="808"/>
      <c r="CH289" s="808"/>
      <c r="CI289" s="808"/>
      <c r="CJ289" s="808"/>
      <c r="CK289" s="808"/>
      <c r="CL289" s="808"/>
      <c r="CM289" s="808"/>
      <c r="CN289" s="808"/>
      <c r="CO289" s="808"/>
      <c r="CP289" s="808"/>
      <c r="CQ289" s="808"/>
      <c r="CR289" s="808"/>
      <c r="CS289" s="808"/>
      <c r="CT289" s="808"/>
      <c r="CU289" s="808"/>
      <c r="CV289" s="808"/>
      <c r="CW289" s="808"/>
      <c r="CX289" s="808"/>
      <c r="CY289" s="808"/>
      <c r="CZ289" s="808"/>
      <c r="DA289" s="808"/>
      <c r="DB289" s="808"/>
      <c r="DC289" s="808"/>
      <c r="DD289" s="808"/>
      <c r="DE289" s="808"/>
      <c r="DF289" s="808"/>
      <c r="DG289" s="808"/>
      <c r="DH289" s="808"/>
      <c r="DI289" s="808"/>
      <c r="DJ289" s="808"/>
      <c r="DK289" s="808"/>
      <c r="DL289" s="808"/>
      <c r="DM289" s="808"/>
      <c r="DN289" s="808"/>
      <c r="DO289" s="808"/>
      <c r="DP289" s="808"/>
    </row>
    <row r="290" spans="1:120" hidden="1">
      <c r="A290" s="821"/>
      <c r="B290" s="813" t="s">
        <v>1273</v>
      </c>
      <c r="C290" s="814" t="s">
        <v>1333</v>
      </c>
      <c r="D290" s="815">
        <v>0</v>
      </c>
      <c r="E290" s="815">
        <v>0</v>
      </c>
      <c r="K290" s="808"/>
      <c r="M290" s="808"/>
      <c r="N290" s="808"/>
      <c r="O290" s="808"/>
      <c r="P290" s="808"/>
      <c r="Q290" s="808"/>
      <c r="R290" s="808"/>
      <c r="S290" s="808"/>
      <c r="T290" s="808"/>
      <c r="U290" s="808"/>
      <c r="V290" s="808"/>
      <c r="W290" s="808"/>
      <c r="X290" s="808"/>
      <c r="Y290" s="808"/>
      <c r="Z290" s="808"/>
      <c r="AA290" s="808"/>
      <c r="AB290" s="808"/>
      <c r="AC290" s="808"/>
      <c r="AD290" s="808"/>
      <c r="AE290" s="808"/>
      <c r="AF290" s="808"/>
      <c r="AG290" s="808"/>
      <c r="AH290" s="808"/>
      <c r="AI290" s="808"/>
      <c r="AJ290" s="808"/>
      <c r="AK290" s="808"/>
      <c r="AL290" s="808"/>
      <c r="AM290" s="808"/>
      <c r="AN290" s="808"/>
      <c r="AO290" s="808"/>
      <c r="AP290" s="808"/>
      <c r="AQ290" s="808"/>
      <c r="AR290" s="808"/>
      <c r="AS290" s="808"/>
      <c r="AT290" s="808"/>
      <c r="AU290" s="808"/>
      <c r="AV290" s="808"/>
      <c r="AW290" s="808"/>
      <c r="AX290" s="808"/>
      <c r="AY290" s="808"/>
      <c r="AZ290" s="808"/>
      <c r="BA290" s="808"/>
      <c r="BB290" s="808"/>
      <c r="BC290" s="808"/>
      <c r="BD290" s="808"/>
      <c r="BE290" s="808"/>
      <c r="BF290" s="808"/>
      <c r="BG290" s="808"/>
      <c r="BH290" s="808"/>
      <c r="BI290" s="808"/>
      <c r="BJ290" s="808"/>
      <c r="BK290" s="808"/>
      <c r="BL290" s="808"/>
      <c r="BM290" s="808"/>
      <c r="BN290" s="808"/>
      <c r="BO290" s="808"/>
      <c r="BP290" s="808"/>
      <c r="BQ290" s="808"/>
      <c r="BR290" s="808"/>
      <c r="BS290" s="808"/>
      <c r="BT290" s="808"/>
      <c r="BU290" s="808"/>
      <c r="BV290" s="808"/>
      <c r="BW290" s="808"/>
      <c r="BX290" s="808"/>
      <c r="BY290" s="808"/>
      <c r="BZ290" s="808"/>
      <c r="CA290" s="808"/>
      <c r="CB290" s="808"/>
      <c r="CC290" s="808"/>
      <c r="CD290" s="808"/>
      <c r="CE290" s="808"/>
      <c r="CF290" s="808"/>
      <c r="CG290" s="808"/>
      <c r="CH290" s="808"/>
      <c r="CI290" s="808"/>
      <c r="CJ290" s="808"/>
      <c r="CK290" s="808"/>
      <c r="CL290" s="808"/>
      <c r="CM290" s="808"/>
      <c r="CN290" s="808"/>
      <c r="CO290" s="808"/>
      <c r="CP290" s="808"/>
      <c r="CQ290" s="808"/>
      <c r="CR290" s="808"/>
      <c r="CS290" s="808"/>
      <c r="CT290" s="808"/>
      <c r="CU290" s="808"/>
      <c r="CV290" s="808"/>
      <c r="CW290" s="808"/>
      <c r="CX290" s="808"/>
      <c r="CY290" s="808"/>
      <c r="CZ290" s="808"/>
      <c r="DA290" s="808"/>
      <c r="DB290" s="808"/>
      <c r="DC290" s="808"/>
      <c r="DD290" s="808"/>
      <c r="DE290" s="808"/>
      <c r="DF290" s="808"/>
      <c r="DG290" s="808"/>
      <c r="DH290" s="808"/>
      <c r="DI290" s="808"/>
      <c r="DJ290" s="808"/>
      <c r="DK290" s="808"/>
      <c r="DL290" s="808"/>
      <c r="DM290" s="808"/>
      <c r="DN290" s="808"/>
      <c r="DO290" s="808"/>
      <c r="DP290" s="808"/>
    </row>
    <row r="291" spans="1:120" hidden="1">
      <c r="A291" s="821"/>
      <c r="B291" s="813" t="s">
        <v>1278</v>
      </c>
      <c r="C291" s="814" t="s">
        <v>1334</v>
      </c>
      <c r="D291" s="815">
        <v>0</v>
      </c>
      <c r="E291" s="815">
        <v>0</v>
      </c>
      <c r="K291" s="808"/>
      <c r="M291" s="808"/>
      <c r="N291" s="808"/>
      <c r="O291" s="808"/>
      <c r="P291" s="808"/>
      <c r="Q291" s="808"/>
      <c r="R291" s="808"/>
      <c r="S291" s="808"/>
      <c r="T291" s="808"/>
      <c r="U291" s="808"/>
      <c r="V291" s="808"/>
      <c r="W291" s="808"/>
      <c r="X291" s="808"/>
      <c r="Y291" s="808"/>
      <c r="Z291" s="808"/>
      <c r="AA291" s="808"/>
      <c r="AB291" s="808"/>
      <c r="AC291" s="808"/>
      <c r="AD291" s="808"/>
      <c r="AE291" s="808"/>
      <c r="AF291" s="808"/>
      <c r="AG291" s="808"/>
      <c r="AH291" s="808"/>
      <c r="AI291" s="808"/>
      <c r="AJ291" s="808"/>
      <c r="AK291" s="808"/>
      <c r="AL291" s="808"/>
      <c r="AM291" s="808"/>
      <c r="AN291" s="808"/>
      <c r="AO291" s="808"/>
      <c r="AP291" s="808"/>
      <c r="AQ291" s="808"/>
      <c r="AR291" s="808"/>
      <c r="AS291" s="808"/>
      <c r="AT291" s="808"/>
      <c r="AU291" s="808"/>
      <c r="AV291" s="808"/>
      <c r="AW291" s="808"/>
      <c r="AX291" s="808"/>
      <c r="AY291" s="808"/>
      <c r="AZ291" s="808"/>
      <c r="BA291" s="808"/>
      <c r="BB291" s="808"/>
      <c r="BC291" s="808"/>
      <c r="BD291" s="808"/>
      <c r="BE291" s="808"/>
      <c r="BF291" s="808"/>
      <c r="BG291" s="808"/>
      <c r="BH291" s="808"/>
      <c r="BI291" s="808"/>
      <c r="BJ291" s="808"/>
      <c r="BK291" s="808"/>
      <c r="BL291" s="808"/>
      <c r="BM291" s="808"/>
      <c r="BN291" s="808"/>
      <c r="BO291" s="808"/>
      <c r="BP291" s="808"/>
      <c r="BQ291" s="808"/>
      <c r="BR291" s="808"/>
      <c r="BS291" s="808"/>
      <c r="BT291" s="808"/>
      <c r="BU291" s="808"/>
      <c r="BV291" s="808"/>
      <c r="BW291" s="808"/>
      <c r="BX291" s="808"/>
      <c r="BY291" s="808"/>
      <c r="BZ291" s="808"/>
      <c r="CA291" s="808"/>
      <c r="CB291" s="808"/>
      <c r="CC291" s="808"/>
      <c r="CD291" s="808"/>
      <c r="CE291" s="808"/>
      <c r="CF291" s="808"/>
      <c r="CG291" s="808"/>
      <c r="CH291" s="808"/>
      <c r="CI291" s="808"/>
      <c r="CJ291" s="808"/>
      <c r="CK291" s="808"/>
      <c r="CL291" s="808"/>
      <c r="CM291" s="808"/>
      <c r="CN291" s="808"/>
      <c r="CO291" s="808"/>
      <c r="CP291" s="808"/>
      <c r="CQ291" s="808"/>
      <c r="CR291" s="808"/>
      <c r="CS291" s="808"/>
      <c r="CT291" s="808"/>
      <c r="CU291" s="808"/>
      <c r="CV291" s="808"/>
      <c r="CW291" s="808"/>
      <c r="CX291" s="808"/>
      <c r="CY291" s="808"/>
      <c r="CZ291" s="808"/>
      <c r="DA291" s="808"/>
      <c r="DB291" s="808"/>
      <c r="DC291" s="808"/>
      <c r="DD291" s="808"/>
      <c r="DE291" s="808"/>
      <c r="DF291" s="808"/>
      <c r="DG291" s="808"/>
      <c r="DH291" s="808"/>
      <c r="DI291" s="808"/>
      <c r="DJ291" s="808"/>
      <c r="DK291" s="808"/>
      <c r="DL291" s="808"/>
      <c r="DM291" s="808"/>
      <c r="DN291" s="808"/>
      <c r="DO291" s="808"/>
      <c r="DP291" s="808"/>
    </row>
    <row r="292" spans="1:120" ht="26.4" hidden="1">
      <c r="A292" s="821"/>
      <c r="B292" s="813" t="s">
        <v>1280</v>
      </c>
      <c r="C292" s="814" t="s">
        <v>1335</v>
      </c>
      <c r="D292" s="815">
        <v>0</v>
      </c>
      <c r="E292" s="815">
        <v>0</v>
      </c>
      <c r="K292" s="808"/>
      <c r="M292" s="808"/>
      <c r="N292" s="808"/>
      <c r="O292" s="808"/>
      <c r="P292" s="808"/>
      <c r="Q292" s="808"/>
      <c r="R292" s="808"/>
      <c r="S292" s="808"/>
      <c r="T292" s="808"/>
      <c r="U292" s="808"/>
      <c r="V292" s="808"/>
      <c r="W292" s="808"/>
      <c r="X292" s="808"/>
      <c r="Y292" s="808"/>
      <c r="Z292" s="808"/>
      <c r="AA292" s="808"/>
      <c r="AB292" s="808"/>
      <c r="AC292" s="808"/>
      <c r="AD292" s="808"/>
      <c r="AE292" s="808"/>
      <c r="AF292" s="808"/>
      <c r="AG292" s="808"/>
      <c r="AH292" s="808"/>
      <c r="AI292" s="808"/>
      <c r="AJ292" s="808"/>
      <c r="AK292" s="808"/>
      <c r="AL292" s="808"/>
      <c r="AM292" s="808"/>
      <c r="AN292" s="808"/>
      <c r="AO292" s="808"/>
      <c r="AP292" s="808"/>
      <c r="AQ292" s="808"/>
      <c r="AR292" s="808"/>
      <c r="AS292" s="808"/>
      <c r="AT292" s="808"/>
      <c r="AU292" s="808"/>
      <c r="AV292" s="808"/>
      <c r="AW292" s="808"/>
      <c r="AX292" s="808"/>
      <c r="AY292" s="808"/>
      <c r="AZ292" s="808"/>
      <c r="BA292" s="808"/>
      <c r="BB292" s="808"/>
      <c r="BC292" s="808"/>
      <c r="BD292" s="808"/>
      <c r="BE292" s="808"/>
      <c r="BF292" s="808"/>
      <c r="BG292" s="808"/>
      <c r="BH292" s="808"/>
      <c r="BI292" s="808"/>
      <c r="BJ292" s="808"/>
      <c r="BK292" s="808"/>
      <c r="BL292" s="808"/>
      <c r="BM292" s="808"/>
      <c r="BN292" s="808"/>
      <c r="BO292" s="808"/>
      <c r="BP292" s="808"/>
      <c r="BQ292" s="808"/>
      <c r="BR292" s="808"/>
      <c r="BS292" s="808"/>
      <c r="BT292" s="808"/>
      <c r="BU292" s="808"/>
      <c r="BV292" s="808"/>
      <c r="BW292" s="808"/>
      <c r="BX292" s="808"/>
      <c r="BY292" s="808"/>
      <c r="BZ292" s="808"/>
      <c r="CA292" s="808"/>
      <c r="CB292" s="808"/>
      <c r="CC292" s="808"/>
      <c r="CD292" s="808"/>
      <c r="CE292" s="808"/>
      <c r="CF292" s="808"/>
      <c r="CG292" s="808"/>
      <c r="CH292" s="808"/>
      <c r="CI292" s="808"/>
      <c r="CJ292" s="808"/>
      <c r="CK292" s="808"/>
      <c r="CL292" s="808"/>
      <c r="CM292" s="808"/>
      <c r="CN292" s="808"/>
      <c r="CO292" s="808"/>
      <c r="CP292" s="808"/>
      <c r="CQ292" s="808"/>
      <c r="CR292" s="808"/>
      <c r="CS292" s="808"/>
      <c r="CT292" s="808"/>
      <c r="CU292" s="808"/>
      <c r="CV292" s="808"/>
      <c r="CW292" s="808"/>
      <c r="CX292" s="808"/>
      <c r="CY292" s="808"/>
      <c r="CZ292" s="808"/>
      <c r="DA292" s="808"/>
      <c r="DB292" s="808"/>
      <c r="DC292" s="808"/>
      <c r="DD292" s="808"/>
      <c r="DE292" s="808"/>
      <c r="DF292" s="808"/>
      <c r="DG292" s="808"/>
      <c r="DH292" s="808"/>
      <c r="DI292" s="808"/>
      <c r="DJ292" s="808"/>
      <c r="DK292" s="808"/>
      <c r="DL292" s="808"/>
      <c r="DM292" s="808"/>
      <c r="DN292" s="808"/>
      <c r="DO292" s="808"/>
      <c r="DP292" s="808"/>
    </row>
    <row r="293" spans="1:120" hidden="1">
      <c r="A293" s="821"/>
      <c r="B293" s="813" t="s">
        <v>1282</v>
      </c>
      <c r="C293" s="816" t="s">
        <v>82</v>
      </c>
      <c r="D293" s="815">
        <v>0</v>
      </c>
      <c r="E293" s="815">
        <v>0</v>
      </c>
      <c r="K293" s="808"/>
      <c r="M293" s="808"/>
      <c r="N293" s="808"/>
      <c r="O293" s="808"/>
      <c r="P293" s="808"/>
      <c r="Q293" s="808"/>
      <c r="R293" s="808"/>
      <c r="S293" s="808"/>
      <c r="T293" s="808"/>
      <c r="U293" s="808"/>
      <c r="V293" s="808"/>
      <c r="W293" s="808"/>
      <c r="X293" s="808"/>
      <c r="Y293" s="808"/>
      <c r="Z293" s="808"/>
      <c r="AA293" s="808"/>
      <c r="AB293" s="808"/>
      <c r="AC293" s="808"/>
      <c r="AD293" s="808"/>
      <c r="AE293" s="808"/>
      <c r="AF293" s="808"/>
      <c r="AG293" s="808"/>
      <c r="AH293" s="808"/>
      <c r="AI293" s="808"/>
      <c r="AJ293" s="808"/>
      <c r="AK293" s="808"/>
      <c r="AL293" s="808"/>
      <c r="AM293" s="808"/>
      <c r="AN293" s="808"/>
      <c r="AO293" s="808"/>
      <c r="AP293" s="808"/>
      <c r="AQ293" s="808"/>
      <c r="AR293" s="808"/>
      <c r="AS293" s="808"/>
      <c r="AT293" s="808"/>
      <c r="AU293" s="808"/>
      <c r="AV293" s="808"/>
      <c r="AW293" s="808"/>
      <c r="AX293" s="808"/>
      <c r="AY293" s="808"/>
      <c r="AZ293" s="808"/>
      <c r="BA293" s="808"/>
      <c r="BB293" s="808"/>
      <c r="BC293" s="808"/>
      <c r="BD293" s="808"/>
      <c r="BE293" s="808"/>
      <c r="BF293" s="808"/>
      <c r="BG293" s="808"/>
      <c r="BH293" s="808"/>
      <c r="BI293" s="808"/>
      <c r="BJ293" s="808"/>
      <c r="BK293" s="808"/>
      <c r="BL293" s="808"/>
      <c r="BM293" s="808"/>
      <c r="BN293" s="808"/>
      <c r="BO293" s="808"/>
      <c r="BP293" s="808"/>
      <c r="BQ293" s="808"/>
      <c r="BR293" s="808"/>
      <c r="BS293" s="808"/>
      <c r="BT293" s="808"/>
      <c r="BU293" s="808"/>
      <c r="BV293" s="808"/>
      <c r="BW293" s="808"/>
      <c r="BX293" s="808"/>
      <c r="BY293" s="808"/>
      <c r="BZ293" s="808"/>
      <c r="CA293" s="808"/>
      <c r="CB293" s="808"/>
      <c r="CC293" s="808"/>
      <c r="CD293" s="808"/>
      <c r="CE293" s="808"/>
      <c r="CF293" s="808"/>
      <c r="CG293" s="808"/>
      <c r="CH293" s="808"/>
      <c r="CI293" s="808"/>
      <c r="CJ293" s="808"/>
      <c r="CK293" s="808"/>
      <c r="CL293" s="808"/>
      <c r="CM293" s="808"/>
      <c r="CN293" s="808"/>
      <c r="CO293" s="808"/>
      <c r="CP293" s="808"/>
      <c r="CQ293" s="808"/>
      <c r="CR293" s="808"/>
      <c r="CS293" s="808"/>
      <c r="CT293" s="808"/>
      <c r="CU293" s="808"/>
      <c r="CV293" s="808"/>
      <c r="CW293" s="808"/>
      <c r="CX293" s="808"/>
      <c r="CY293" s="808"/>
      <c r="CZ293" s="808"/>
      <c r="DA293" s="808"/>
      <c r="DB293" s="808"/>
      <c r="DC293" s="808"/>
      <c r="DD293" s="808"/>
      <c r="DE293" s="808"/>
      <c r="DF293" s="808"/>
      <c r="DG293" s="808"/>
      <c r="DH293" s="808"/>
      <c r="DI293" s="808"/>
      <c r="DJ293" s="808"/>
      <c r="DK293" s="808"/>
      <c r="DL293" s="808"/>
      <c r="DM293" s="808"/>
      <c r="DN293" s="808"/>
      <c r="DO293" s="808"/>
      <c r="DP293" s="808"/>
    </row>
    <row r="294" spans="1:120" hidden="1">
      <c r="A294" s="821" t="s">
        <v>1201</v>
      </c>
      <c r="B294" s="807" t="s">
        <v>1201</v>
      </c>
      <c r="C294" s="808" t="s">
        <v>1201</v>
      </c>
      <c r="D294" s="214" t="s">
        <v>1201</v>
      </c>
      <c r="K294" s="808"/>
      <c r="M294" s="808"/>
      <c r="N294" s="808"/>
      <c r="O294" s="808"/>
      <c r="P294" s="808"/>
      <c r="Q294" s="808"/>
      <c r="R294" s="808"/>
      <c r="S294" s="808"/>
      <c r="T294" s="808"/>
      <c r="U294" s="808"/>
      <c r="V294" s="808"/>
      <c r="W294" s="808"/>
      <c r="X294" s="808"/>
      <c r="Y294" s="808"/>
      <c r="Z294" s="808"/>
      <c r="AA294" s="808"/>
      <c r="AB294" s="808"/>
      <c r="AC294" s="808"/>
      <c r="AD294" s="808"/>
      <c r="AE294" s="808"/>
      <c r="AF294" s="808"/>
      <c r="AG294" s="808"/>
      <c r="AH294" s="808"/>
      <c r="AI294" s="808"/>
      <c r="AJ294" s="808"/>
      <c r="AK294" s="808"/>
      <c r="AL294" s="808"/>
      <c r="AM294" s="808"/>
      <c r="AN294" s="808"/>
      <c r="AO294" s="808"/>
      <c r="AP294" s="808"/>
      <c r="AQ294" s="808"/>
      <c r="AR294" s="808"/>
      <c r="AS294" s="808"/>
      <c r="AT294" s="808"/>
      <c r="AU294" s="808"/>
      <c r="AV294" s="808"/>
      <c r="AW294" s="808"/>
      <c r="AX294" s="808"/>
      <c r="AY294" s="808"/>
      <c r="AZ294" s="808"/>
      <c r="BA294" s="808"/>
      <c r="BB294" s="808"/>
      <c r="BC294" s="808"/>
      <c r="BD294" s="808"/>
      <c r="BE294" s="808"/>
      <c r="BF294" s="808"/>
      <c r="BG294" s="808"/>
      <c r="BH294" s="808"/>
      <c r="BI294" s="808"/>
      <c r="BJ294" s="808"/>
      <c r="BK294" s="808"/>
      <c r="BL294" s="808"/>
      <c r="BM294" s="808"/>
      <c r="BN294" s="808"/>
      <c r="BO294" s="808"/>
      <c r="BP294" s="984"/>
      <c r="BQ294" s="984"/>
      <c r="BR294" s="984"/>
      <c r="BS294" s="984"/>
      <c r="BT294" s="984"/>
      <c r="BU294" s="984"/>
      <c r="BV294" s="984"/>
      <c r="BW294" s="984"/>
      <c r="BX294" s="984"/>
      <c r="BY294" s="984"/>
      <c r="BZ294" s="984"/>
      <c r="CA294" s="984"/>
      <c r="CB294" s="984"/>
      <c r="CC294" s="984"/>
      <c r="CD294" s="984"/>
      <c r="CE294" s="984"/>
      <c r="CF294" s="984"/>
      <c r="CG294" s="984"/>
      <c r="CH294" s="984"/>
      <c r="CI294" s="984"/>
      <c r="CJ294" s="984"/>
      <c r="CK294" s="984"/>
      <c r="CL294" s="984"/>
      <c r="CM294" s="984"/>
      <c r="CN294" s="984"/>
      <c r="CO294" s="984"/>
      <c r="CP294" s="984"/>
      <c r="CQ294" s="984"/>
      <c r="CR294" s="984"/>
      <c r="CS294" s="984"/>
      <c r="CT294" s="984"/>
      <c r="CU294" s="984"/>
      <c r="CV294" s="984"/>
      <c r="CW294" s="984"/>
      <c r="CX294" s="984"/>
      <c r="CY294" s="984"/>
      <c r="CZ294" s="984"/>
      <c r="DA294" s="984"/>
      <c r="DB294" s="984"/>
      <c r="DC294" s="984"/>
      <c r="DD294" s="984"/>
      <c r="DE294" s="984"/>
      <c r="DF294" s="984"/>
      <c r="DG294" s="984"/>
      <c r="DH294" s="984"/>
      <c r="DI294" s="984"/>
      <c r="DJ294" s="984"/>
      <c r="DK294" s="984"/>
      <c r="DL294" s="984"/>
      <c r="DM294" s="984"/>
      <c r="DN294" s="984"/>
      <c r="DO294" s="984"/>
      <c r="DP294" s="984"/>
    </row>
    <row r="295" spans="1:120">
      <c r="A295" s="821"/>
      <c r="B295" s="809" t="s">
        <v>1336</v>
      </c>
      <c r="C295" s="808"/>
      <c r="F295" s="214" t="e">
        <f>+#REF!</f>
        <v>#REF!</v>
      </c>
    </row>
    <row r="296" spans="1:120">
      <c r="A296" s="821"/>
      <c r="B296" s="807"/>
      <c r="C296" s="808"/>
      <c r="E296" s="810" t="s">
        <v>1203</v>
      </c>
      <c r="F296" s="214" t="e">
        <f>+F295-F283</f>
        <v>#REF!</v>
      </c>
    </row>
    <row r="297" spans="1:120">
      <c r="A297" s="821"/>
      <c r="B297" s="811" t="s">
        <v>79</v>
      </c>
      <c r="C297" s="811" t="s">
        <v>5</v>
      </c>
      <c r="D297" s="812" t="s">
        <v>390</v>
      </c>
      <c r="E297" s="812" t="s">
        <v>390</v>
      </c>
    </row>
    <row r="298" spans="1:120">
      <c r="A298" s="821"/>
      <c r="B298" s="813" t="s">
        <v>1220</v>
      </c>
      <c r="C298" s="814" t="s">
        <v>392</v>
      </c>
      <c r="D298" s="815">
        <v>2777097.7</v>
      </c>
      <c r="E298" s="815">
        <f>4966379464.66/1000</f>
        <v>4966379.4646600001</v>
      </c>
    </row>
    <row r="299" spans="1:120">
      <c r="A299" s="821"/>
      <c r="B299" s="813" t="s">
        <v>1206</v>
      </c>
      <c r="C299" s="814" t="s">
        <v>393</v>
      </c>
      <c r="D299" s="815">
        <v>363601.8</v>
      </c>
      <c r="E299" s="815">
        <f>650691013.09/1000</f>
        <v>650691.01309000002</v>
      </c>
    </row>
    <row r="300" spans="1:120">
      <c r="A300" s="821"/>
      <c r="B300" s="813" t="s">
        <v>1273</v>
      </c>
      <c r="C300" s="814" t="s">
        <v>1337</v>
      </c>
      <c r="D300" s="815">
        <v>0</v>
      </c>
      <c r="E300" s="815">
        <f>1888306477.65/1000</f>
        <v>1888306.47765</v>
      </c>
    </row>
    <row r="301" spans="1:120">
      <c r="A301" s="821"/>
      <c r="B301" s="813" t="s">
        <v>1278</v>
      </c>
      <c r="C301" s="814" t="s">
        <v>395</v>
      </c>
      <c r="D301" s="815">
        <v>0</v>
      </c>
      <c r="E301" s="815">
        <f>398145268.28/1000</f>
        <v>398145.26827999996</v>
      </c>
    </row>
    <row r="302" spans="1:120">
      <c r="A302" s="821"/>
      <c r="B302" s="813" t="s">
        <v>1280</v>
      </c>
      <c r="C302" s="814" t="s">
        <v>396</v>
      </c>
      <c r="D302" s="815">
        <v>31186.5</v>
      </c>
      <c r="E302" s="815">
        <f>114167686.85/1000</f>
        <v>114167.68685</v>
      </c>
    </row>
    <row r="303" spans="1:120">
      <c r="A303" s="821"/>
      <c r="B303" s="813" t="s">
        <v>1282</v>
      </c>
      <c r="C303" s="814" t="s">
        <v>397</v>
      </c>
      <c r="D303" s="815">
        <v>17668.5</v>
      </c>
      <c r="E303" s="815">
        <f>64773268.24/1000</f>
        <v>64773.268240000005</v>
      </c>
    </row>
    <row r="304" spans="1:120">
      <c r="A304" s="821"/>
      <c r="B304" s="813" t="s">
        <v>1338</v>
      </c>
      <c r="C304" s="814" t="s">
        <v>398</v>
      </c>
      <c r="D304" s="815">
        <v>0</v>
      </c>
      <c r="E304" s="815">
        <f>445501215.46/1000</f>
        <v>445501.21545999998</v>
      </c>
    </row>
    <row r="305" spans="1:120">
      <c r="A305" s="821"/>
      <c r="B305" s="813" t="s">
        <v>1321</v>
      </c>
      <c r="C305" s="814" t="s">
        <v>1339</v>
      </c>
      <c r="D305" s="815">
        <v>0</v>
      </c>
      <c r="E305" s="815">
        <v>0</v>
      </c>
    </row>
    <row r="306" spans="1:120">
      <c r="A306" s="821"/>
      <c r="B306" s="813" t="s">
        <v>1340</v>
      </c>
      <c r="C306" s="814" t="s">
        <v>1341</v>
      </c>
      <c r="D306" s="815">
        <v>0</v>
      </c>
      <c r="E306" s="815">
        <v>0</v>
      </c>
    </row>
    <row r="307" spans="1:120">
      <c r="A307" s="821"/>
      <c r="B307" s="813" t="s">
        <v>1342</v>
      </c>
      <c r="C307" s="814" t="s">
        <v>401</v>
      </c>
      <c r="D307" s="815">
        <v>0</v>
      </c>
      <c r="E307" s="815">
        <f>7830207.59/1000</f>
        <v>7830.20759</v>
      </c>
    </row>
    <row r="308" spans="1:120">
      <c r="A308" s="821"/>
      <c r="B308" s="813" t="s">
        <v>1343</v>
      </c>
      <c r="C308" s="814" t="s">
        <v>402</v>
      </c>
      <c r="D308" s="815">
        <v>105900</v>
      </c>
      <c r="E308" s="815">
        <f>137417656.28/1000</f>
        <v>137417.65628</v>
      </c>
      <c r="K308" s="808"/>
      <c r="M308" s="808"/>
      <c r="N308" s="808"/>
      <c r="O308" s="808"/>
      <c r="P308" s="808"/>
      <c r="Q308" s="808"/>
      <c r="R308" s="808"/>
      <c r="S308" s="808"/>
      <c r="T308" s="808"/>
      <c r="U308" s="808"/>
      <c r="V308" s="808"/>
      <c r="W308" s="808"/>
      <c r="X308" s="808"/>
      <c r="Y308" s="808"/>
      <c r="Z308" s="808"/>
      <c r="AA308" s="808"/>
      <c r="AB308" s="808"/>
      <c r="AC308" s="808"/>
      <c r="AD308" s="808"/>
      <c r="AE308" s="808"/>
      <c r="AF308" s="808"/>
      <c r="AG308" s="808"/>
      <c r="AH308" s="808"/>
      <c r="AI308" s="808"/>
      <c r="AJ308" s="808"/>
      <c r="AK308" s="808"/>
      <c r="AL308" s="808"/>
      <c r="AM308" s="808"/>
      <c r="AN308" s="808"/>
      <c r="AO308" s="808"/>
      <c r="AP308" s="808"/>
      <c r="AQ308" s="808"/>
      <c r="AR308" s="808"/>
      <c r="AS308" s="808"/>
      <c r="AT308" s="808"/>
      <c r="AU308" s="808"/>
      <c r="AV308" s="808"/>
      <c r="AW308" s="808"/>
      <c r="AX308" s="808"/>
      <c r="AY308" s="808"/>
      <c r="AZ308" s="808"/>
      <c r="BA308" s="808"/>
      <c r="BB308" s="808"/>
      <c r="BC308" s="808"/>
      <c r="BD308" s="808"/>
      <c r="BE308" s="808"/>
      <c r="BF308" s="808"/>
      <c r="BG308" s="808"/>
      <c r="BH308" s="808"/>
      <c r="BI308" s="808"/>
      <c r="BJ308" s="808"/>
      <c r="BK308" s="808"/>
      <c r="BL308" s="808"/>
      <c r="BM308" s="808"/>
      <c r="BN308" s="808"/>
      <c r="BO308" s="808"/>
      <c r="BP308" s="808"/>
      <c r="BQ308" s="808"/>
      <c r="BR308" s="808"/>
      <c r="BS308" s="808"/>
      <c r="BT308" s="808"/>
      <c r="BU308" s="808"/>
      <c r="BV308" s="808"/>
      <c r="BW308" s="808"/>
      <c r="BX308" s="808"/>
      <c r="BY308" s="808"/>
      <c r="BZ308" s="808"/>
      <c r="CA308" s="808"/>
      <c r="CB308" s="808"/>
      <c r="CC308" s="808"/>
      <c r="CD308" s="808"/>
      <c r="CE308" s="808"/>
      <c r="CF308" s="808"/>
      <c r="CG308" s="808"/>
      <c r="CH308" s="808"/>
      <c r="CI308" s="808"/>
      <c r="CJ308" s="808"/>
      <c r="CK308" s="808"/>
      <c r="CL308" s="808"/>
      <c r="CM308" s="808"/>
      <c r="CN308" s="808"/>
      <c r="CO308" s="808"/>
      <c r="CP308" s="808"/>
      <c r="CQ308" s="808"/>
      <c r="CR308" s="808"/>
      <c r="CS308" s="808"/>
      <c r="CT308" s="808"/>
      <c r="CU308" s="808"/>
      <c r="CV308" s="808"/>
      <c r="CW308" s="808"/>
      <c r="CX308" s="808"/>
      <c r="CY308" s="808"/>
      <c r="CZ308" s="808"/>
      <c r="DA308" s="808"/>
      <c r="DB308" s="808"/>
      <c r="DC308" s="808"/>
      <c r="DD308" s="808"/>
      <c r="DE308" s="808"/>
      <c r="DF308" s="808"/>
      <c r="DG308" s="808"/>
      <c r="DH308" s="808"/>
      <c r="DI308" s="808"/>
      <c r="DJ308" s="808"/>
      <c r="DK308" s="808"/>
      <c r="DL308" s="808"/>
      <c r="DM308" s="808"/>
      <c r="DN308" s="808"/>
      <c r="DO308" s="808"/>
      <c r="DP308" s="808"/>
    </row>
    <row r="309" spans="1:120">
      <c r="A309" s="821"/>
      <c r="B309" s="813" t="s">
        <v>1344</v>
      </c>
      <c r="C309" s="814" t="s">
        <v>403</v>
      </c>
      <c r="D309" s="815">
        <v>344899.8</v>
      </c>
      <c r="E309" s="815">
        <f>361526469.4/1000</f>
        <v>361526.4694</v>
      </c>
      <c r="K309" s="808"/>
      <c r="M309" s="808"/>
      <c r="N309" s="808"/>
      <c r="O309" s="808"/>
      <c r="P309" s="808"/>
      <c r="Q309" s="808"/>
      <c r="R309" s="808"/>
      <c r="S309" s="808"/>
      <c r="T309" s="808"/>
      <c r="U309" s="808"/>
      <c r="V309" s="808"/>
      <c r="W309" s="808"/>
      <c r="X309" s="808"/>
      <c r="Y309" s="808"/>
      <c r="Z309" s="808"/>
      <c r="AA309" s="808"/>
      <c r="AB309" s="808"/>
      <c r="AC309" s="808"/>
      <c r="AD309" s="808"/>
      <c r="AE309" s="808"/>
      <c r="AF309" s="808"/>
      <c r="AG309" s="808"/>
      <c r="AH309" s="808"/>
      <c r="AI309" s="808"/>
      <c r="AJ309" s="808"/>
      <c r="AK309" s="808"/>
      <c r="AL309" s="808"/>
      <c r="AM309" s="808"/>
      <c r="AN309" s="808"/>
      <c r="AO309" s="808"/>
      <c r="AP309" s="808"/>
      <c r="AQ309" s="808"/>
      <c r="AR309" s="808"/>
      <c r="AS309" s="808"/>
      <c r="AT309" s="808"/>
      <c r="AU309" s="808"/>
      <c r="AV309" s="808"/>
      <c r="AW309" s="808"/>
      <c r="AX309" s="808"/>
      <c r="AY309" s="808"/>
      <c r="AZ309" s="808"/>
      <c r="BA309" s="808"/>
      <c r="BB309" s="808"/>
      <c r="BC309" s="808"/>
      <c r="BD309" s="808"/>
      <c r="BE309" s="808"/>
      <c r="BF309" s="808"/>
      <c r="BG309" s="808"/>
      <c r="BH309" s="808"/>
      <c r="BI309" s="808"/>
      <c r="BJ309" s="808"/>
      <c r="BK309" s="808"/>
      <c r="BL309" s="808"/>
      <c r="BM309" s="808"/>
      <c r="BN309" s="808"/>
      <c r="BO309" s="808"/>
      <c r="BP309" s="808"/>
      <c r="BQ309" s="808"/>
      <c r="BR309" s="808"/>
      <c r="BS309" s="808"/>
      <c r="BT309" s="808"/>
      <c r="BU309" s="808"/>
      <c r="BV309" s="808"/>
      <c r="BW309" s="808"/>
      <c r="BX309" s="808"/>
      <c r="BY309" s="808"/>
      <c r="BZ309" s="808"/>
      <c r="CA309" s="808"/>
      <c r="CB309" s="808"/>
      <c r="CC309" s="808"/>
      <c r="CD309" s="808"/>
      <c r="CE309" s="808"/>
      <c r="CF309" s="808"/>
      <c r="CG309" s="808"/>
      <c r="CH309" s="808"/>
      <c r="CI309" s="808"/>
      <c r="CJ309" s="808"/>
      <c r="CK309" s="808"/>
      <c r="CL309" s="808"/>
      <c r="CM309" s="808"/>
      <c r="CN309" s="808"/>
      <c r="CO309" s="808"/>
      <c r="CP309" s="808"/>
      <c r="CQ309" s="808"/>
      <c r="CR309" s="808"/>
      <c r="CS309" s="808"/>
      <c r="CT309" s="808"/>
      <c r="CU309" s="808"/>
      <c r="CV309" s="808"/>
      <c r="CW309" s="808"/>
      <c r="CX309" s="808"/>
      <c r="CY309" s="808"/>
      <c r="CZ309" s="808"/>
      <c r="DA309" s="808"/>
      <c r="DB309" s="808"/>
      <c r="DC309" s="808"/>
      <c r="DD309" s="808"/>
      <c r="DE309" s="808"/>
      <c r="DF309" s="808"/>
      <c r="DG309" s="808"/>
      <c r="DH309" s="808"/>
      <c r="DI309" s="808"/>
      <c r="DJ309" s="808"/>
      <c r="DK309" s="808"/>
      <c r="DL309" s="808"/>
      <c r="DM309" s="808"/>
      <c r="DN309" s="808"/>
      <c r="DO309" s="808"/>
      <c r="DP309" s="808"/>
    </row>
    <row r="310" spans="1:120">
      <c r="A310" s="821"/>
      <c r="B310" s="813" t="s">
        <v>1345</v>
      </c>
      <c r="C310" s="814" t="s">
        <v>404</v>
      </c>
      <c r="D310" s="815">
        <v>291202.2</v>
      </c>
      <c r="E310" s="815">
        <f>291523274.25/1000</f>
        <v>291523.27425000002</v>
      </c>
      <c r="K310" s="808"/>
      <c r="M310" s="808"/>
      <c r="N310" s="808"/>
      <c r="O310" s="808"/>
      <c r="P310" s="808"/>
      <c r="Q310" s="808"/>
      <c r="R310" s="808"/>
      <c r="S310" s="808"/>
      <c r="T310" s="808"/>
      <c r="U310" s="808"/>
      <c r="V310" s="808"/>
      <c r="W310" s="808"/>
      <c r="X310" s="808"/>
      <c r="Y310" s="808"/>
      <c r="Z310" s="808"/>
      <c r="AA310" s="808"/>
      <c r="AB310" s="808"/>
      <c r="AC310" s="808"/>
      <c r="AD310" s="808"/>
      <c r="AE310" s="808"/>
      <c r="AF310" s="808"/>
      <c r="AG310" s="808"/>
      <c r="AH310" s="808"/>
      <c r="AI310" s="808"/>
      <c r="AJ310" s="808"/>
      <c r="AK310" s="808"/>
      <c r="AL310" s="808"/>
      <c r="AM310" s="808"/>
      <c r="AN310" s="808"/>
      <c r="AO310" s="808"/>
      <c r="AP310" s="808"/>
      <c r="AQ310" s="808"/>
      <c r="AR310" s="808"/>
      <c r="AS310" s="808"/>
      <c r="AT310" s="808"/>
      <c r="AU310" s="808"/>
      <c r="AV310" s="808"/>
      <c r="AW310" s="808"/>
      <c r="AX310" s="808"/>
      <c r="AY310" s="808"/>
      <c r="AZ310" s="808"/>
      <c r="BA310" s="808"/>
      <c r="BB310" s="808"/>
      <c r="BC310" s="808"/>
      <c r="BD310" s="808"/>
      <c r="BE310" s="808"/>
      <c r="BF310" s="808"/>
      <c r="BG310" s="808"/>
      <c r="BH310" s="808"/>
      <c r="BI310" s="808"/>
      <c r="BJ310" s="808"/>
      <c r="BK310" s="808"/>
      <c r="BL310" s="808"/>
      <c r="BM310" s="808"/>
      <c r="BN310" s="808"/>
      <c r="BO310" s="808"/>
      <c r="BP310" s="808"/>
      <c r="BQ310" s="808"/>
      <c r="BR310" s="808"/>
      <c r="BS310" s="808"/>
      <c r="BT310" s="808"/>
      <c r="BU310" s="808"/>
      <c r="BV310" s="808"/>
      <c r="BW310" s="808"/>
      <c r="BX310" s="808"/>
      <c r="BY310" s="808"/>
      <c r="BZ310" s="808"/>
      <c r="CA310" s="808"/>
      <c r="CB310" s="808"/>
      <c r="CC310" s="808"/>
      <c r="CD310" s="808"/>
      <c r="CE310" s="808"/>
      <c r="CF310" s="808"/>
      <c r="CG310" s="808"/>
      <c r="CH310" s="808"/>
      <c r="CI310" s="808"/>
      <c r="CJ310" s="808"/>
      <c r="CK310" s="808"/>
      <c r="CL310" s="808"/>
      <c r="CM310" s="808"/>
      <c r="CN310" s="808"/>
      <c r="CO310" s="808"/>
      <c r="CP310" s="808"/>
      <c r="CQ310" s="808"/>
      <c r="CR310" s="808"/>
      <c r="CS310" s="808"/>
      <c r="CT310" s="808"/>
      <c r="CU310" s="808"/>
      <c r="CV310" s="808"/>
      <c r="CW310" s="808"/>
      <c r="CX310" s="808"/>
      <c r="CY310" s="808"/>
      <c r="CZ310" s="808"/>
      <c r="DA310" s="808"/>
      <c r="DB310" s="808"/>
      <c r="DC310" s="808"/>
      <c r="DD310" s="808"/>
      <c r="DE310" s="808"/>
      <c r="DF310" s="808"/>
      <c r="DG310" s="808"/>
      <c r="DH310" s="808"/>
      <c r="DI310" s="808"/>
      <c r="DJ310" s="808"/>
      <c r="DK310" s="808"/>
      <c r="DL310" s="808"/>
      <c r="DM310" s="808"/>
      <c r="DN310" s="808"/>
      <c r="DO310" s="808"/>
      <c r="DP310" s="808"/>
    </row>
    <row r="311" spans="1:120">
      <c r="A311" s="821"/>
      <c r="B311" s="813" t="s">
        <v>1346</v>
      </c>
      <c r="C311" s="814" t="s">
        <v>405</v>
      </c>
      <c r="D311" s="815">
        <v>754077.8</v>
      </c>
      <c r="E311" s="815">
        <f>954115556.94/1000</f>
        <v>954115.55694000004</v>
      </c>
      <c r="K311" s="808"/>
      <c r="M311" s="808"/>
      <c r="N311" s="808"/>
      <c r="O311" s="808"/>
      <c r="P311" s="808"/>
      <c r="Q311" s="808"/>
      <c r="R311" s="808"/>
      <c r="S311" s="808"/>
      <c r="T311" s="808"/>
      <c r="U311" s="808"/>
      <c r="V311" s="808"/>
      <c r="W311" s="808"/>
      <c r="X311" s="808"/>
      <c r="Y311" s="808"/>
      <c r="Z311" s="808"/>
      <c r="AA311" s="808"/>
      <c r="AB311" s="808"/>
      <c r="AC311" s="808"/>
      <c r="AD311" s="808"/>
      <c r="AE311" s="808"/>
      <c r="AF311" s="808"/>
      <c r="AG311" s="808"/>
      <c r="AH311" s="808"/>
      <c r="AI311" s="808"/>
      <c r="AJ311" s="808"/>
      <c r="AK311" s="808"/>
      <c r="AL311" s="808"/>
      <c r="AM311" s="808"/>
      <c r="AN311" s="808"/>
      <c r="AO311" s="808"/>
      <c r="AP311" s="808"/>
      <c r="AQ311" s="808"/>
      <c r="AR311" s="808"/>
      <c r="AS311" s="808"/>
      <c r="AT311" s="808"/>
      <c r="AU311" s="808"/>
      <c r="AV311" s="808"/>
      <c r="AW311" s="808"/>
      <c r="AX311" s="808"/>
      <c r="AY311" s="808"/>
      <c r="AZ311" s="808"/>
      <c r="BA311" s="808"/>
      <c r="BB311" s="808"/>
      <c r="BC311" s="808"/>
      <c r="BD311" s="808"/>
      <c r="BE311" s="808"/>
      <c r="BF311" s="808"/>
      <c r="BG311" s="808"/>
      <c r="BH311" s="808"/>
      <c r="BI311" s="808"/>
      <c r="BJ311" s="808"/>
      <c r="BK311" s="808"/>
      <c r="BL311" s="808"/>
      <c r="BM311" s="808"/>
      <c r="BN311" s="808"/>
      <c r="BO311" s="808"/>
      <c r="BP311" s="808"/>
      <c r="BQ311" s="808"/>
      <c r="BR311" s="808"/>
      <c r="BS311" s="808"/>
      <c r="BT311" s="808"/>
      <c r="BU311" s="808"/>
      <c r="BV311" s="808"/>
      <c r="BW311" s="808"/>
      <c r="BX311" s="808"/>
      <c r="BY311" s="808"/>
      <c r="BZ311" s="808"/>
      <c r="CA311" s="808"/>
      <c r="CB311" s="808"/>
      <c r="CC311" s="808"/>
      <c r="CD311" s="808"/>
      <c r="CE311" s="808"/>
      <c r="CF311" s="808"/>
      <c r="CG311" s="808"/>
      <c r="CH311" s="808"/>
      <c r="CI311" s="808"/>
      <c r="CJ311" s="808"/>
      <c r="CK311" s="808"/>
      <c r="CL311" s="808"/>
      <c r="CM311" s="808"/>
      <c r="CN311" s="808"/>
      <c r="CO311" s="808"/>
      <c r="CP311" s="808"/>
      <c r="CQ311" s="808"/>
      <c r="CR311" s="808"/>
      <c r="CS311" s="808"/>
      <c r="CT311" s="808"/>
      <c r="CU311" s="808"/>
      <c r="CV311" s="808"/>
      <c r="CW311" s="808"/>
      <c r="CX311" s="808"/>
      <c r="CY311" s="808"/>
      <c r="CZ311" s="808"/>
      <c r="DA311" s="808"/>
      <c r="DB311" s="808"/>
      <c r="DC311" s="808"/>
      <c r="DD311" s="808"/>
      <c r="DE311" s="808"/>
      <c r="DF311" s="808"/>
      <c r="DG311" s="808"/>
      <c r="DH311" s="808"/>
      <c r="DI311" s="808"/>
      <c r="DJ311" s="808"/>
      <c r="DK311" s="808"/>
      <c r="DL311" s="808"/>
      <c r="DM311" s="808"/>
      <c r="DN311" s="808"/>
      <c r="DO311" s="808"/>
      <c r="DP311" s="808"/>
    </row>
    <row r="312" spans="1:120">
      <c r="A312" s="821"/>
      <c r="B312" s="813" t="s">
        <v>1347</v>
      </c>
      <c r="C312" s="814" t="s">
        <v>1348</v>
      </c>
      <c r="D312" s="815">
        <v>0</v>
      </c>
      <c r="E312" s="815">
        <v>0</v>
      </c>
      <c r="K312" s="808"/>
      <c r="M312" s="808"/>
      <c r="N312" s="808"/>
      <c r="O312" s="808"/>
      <c r="P312" s="808"/>
      <c r="Q312" s="808"/>
      <c r="R312" s="808"/>
      <c r="S312" s="808"/>
      <c r="T312" s="808"/>
      <c r="U312" s="808"/>
      <c r="V312" s="808"/>
      <c r="W312" s="808"/>
      <c r="X312" s="808"/>
      <c r="Y312" s="808"/>
      <c r="Z312" s="808"/>
      <c r="AA312" s="808"/>
      <c r="AB312" s="808"/>
      <c r="AC312" s="808"/>
      <c r="AD312" s="808"/>
      <c r="AE312" s="808"/>
      <c r="AF312" s="808"/>
      <c r="AG312" s="808"/>
      <c r="AH312" s="808"/>
      <c r="AI312" s="808"/>
      <c r="AJ312" s="808"/>
      <c r="AK312" s="808"/>
      <c r="AL312" s="808"/>
      <c r="AM312" s="808"/>
      <c r="AN312" s="808"/>
      <c r="AO312" s="808"/>
      <c r="AP312" s="808"/>
      <c r="AQ312" s="808"/>
      <c r="AR312" s="808"/>
      <c r="AS312" s="808"/>
      <c r="AT312" s="808"/>
      <c r="AU312" s="808"/>
      <c r="AV312" s="808"/>
      <c r="AW312" s="808"/>
      <c r="AX312" s="808"/>
      <c r="AY312" s="808"/>
      <c r="AZ312" s="808"/>
      <c r="BA312" s="808"/>
      <c r="BB312" s="808"/>
      <c r="BC312" s="808"/>
      <c r="BD312" s="808"/>
      <c r="BE312" s="808"/>
      <c r="BF312" s="808"/>
      <c r="BG312" s="808"/>
      <c r="BH312" s="808"/>
      <c r="BI312" s="808"/>
      <c r="BJ312" s="808"/>
      <c r="BK312" s="808"/>
      <c r="BL312" s="808"/>
      <c r="BM312" s="808"/>
      <c r="BN312" s="808"/>
      <c r="BO312" s="808"/>
      <c r="BP312" s="808"/>
      <c r="BQ312" s="808"/>
      <c r="BR312" s="808"/>
      <c r="BS312" s="808"/>
      <c r="BT312" s="808"/>
      <c r="BU312" s="808"/>
      <c r="BV312" s="808"/>
      <c r="BW312" s="808"/>
      <c r="BX312" s="808"/>
      <c r="BY312" s="808"/>
      <c r="BZ312" s="808"/>
      <c r="CA312" s="808"/>
      <c r="CB312" s="808"/>
      <c r="CC312" s="808"/>
      <c r="CD312" s="808"/>
      <c r="CE312" s="808"/>
      <c r="CF312" s="808"/>
      <c r="CG312" s="808"/>
      <c r="CH312" s="808"/>
      <c r="CI312" s="808"/>
      <c r="CJ312" s="808"/>
      <c r="CK312" s="808"/>
      <c r="CL312" s="808"/>
      <c r="CM312" s="808"/>
      <c r="CN312" s="808"/>
      <c r="CO312" s="808"/>
      <c r="CP312" s="808"/>
      <c r="CQ312" s="808"/>
      <c r="CR312" s="808"/>
      <c r="CS312" s="808"/>
      <c r="CT312" s="808"/>
      <c r="CU312" s="808"/>
      <c r="CV312" s="808"/>
      <c r="CW312" s="808"/>
      <c r="CX312" s="808"/>
      <c r="CY312" s="808"/>
      <c r="CZ312" s="808"/>
      <c r="DA312" s="808"/>
      <c r="DB312" s="808"/>
      <c r="DC312" s="808"/>
      <c r="DD312" s="808"/>
      <c r="DE312" s="808"/>
      <c r="DF312" s="808"/>
      <c r="DG312" s="808"/>
      <c r="DH312" s="808"/>
      <c r="DI312" s="808"/>
      <c r="DJ312" s="808"/>
      <c r="DK312" s="808"/>
      <c r="DL312" s="808"/>
      <c r="DM312" s="808"/>
      <c r="DN312" s="808"/>
      <c r="DO312" s="808"/>
      <c r="DP312" s="808"/>
    </row>
    <row r="313" spans="1:120">
      <c r="A313" s="821"/>
      <c r="B313" s="813" t="s">
        <v>1349</v>
      </c>
      <c r="C313" s="814" t="s">
        <v>407</v>
      </c>
      <c r="D313" s="815">
        <v>0</v>
      </c>
      <c r="E313" s="815">
        <f>23491615.15/1000</f>
        <v>23491.615149999998</v>
      </c>
      <c r="K313" s="808"/>
      <c r="M313" s="808"/>
      <c r="N313" s="808"/>
      <c r="O313" s="808"/>
      <c r="P313" s="808"/>
      <c r="Q313" s="808"/>
      <c r="R313" s="808"/>
      <c r="S313" s="808"/>
      <c r="T313" s="808"/>
      <c r="U313" s="808"/>
      <c r="V313" s="808"/>
      <c r="W313" s="808"/>
      <c r="X313" s="808"/>
      <c r="Y313" s="808"/>
      <c r="Z313" s="808"/>
      <c r="AA313" s="808"/>
      <c r="AB313" s="808"/>
      <c r="AC313" s="808"/>
      <c r="AD313" s="808"/>
      <c r="AE313" s="808"/>
      <c r="AF313" s="808"/>
      <c r="AG313" s="808"/>
      <c r="AH313" s="808"/>
      <c r="AI313" s="808"/>
      <c r="AJ313" s="808"/>
      <c r="AK313" s="808"/>
      <c r="AL313" s="808"/>
      <c r="AM313" s="808"/>
      <c r="AN313" s="808"/>
      <c r="AO313" s="808"/>
      <c r="AP313" s="808"/>
      <c r="AQ313" s="808"/>
      <c r="AR313" s="808"/>
      <c r="AS313" s="808"/>
      <c r="AT313" s="808"/>
      <c r="AU313" s="808"/>
      <c r="AV313" s="808"/>
      <c r="AW313" s="808"/>
      <c r="AX313" s="808"/>
      <c r="AY313" s="808"/>
      <c r="AZ313" s="808"/>
      <c r="BA313" s="808"/>
      <c r="BB313" s="808"/>
      <c r="BC313" s="808"/>
      <c r="BD313" s="808"/>
      <c r="BE313" s="808"/>
      <c r="BF313" s="808"/>
      <c r="BG313" s="808"/>
      <c r="BH313" s="808"/>
      <c r="BI313" s="808"/>
      <c r="BJ313" s="808"/>
      <c r="BK313" s="808"/>
      <c r="BL313" s="808"/>
      <c r="BM313" s="808"/>
      <c r="BN313" s="808"/>
      <c r="BO313" s="808"/>
      <c r="BP313" s="808"/>
      <c r="BQ313" s="808"/>
      <c r="BR313" s="808"/>
      <c r="BS313" s="808"/>
      <c r="BT313" s="808"/>
      <c r="BU313" s="808"/>
      <c r="BV313" s="808"/>
      <c r="BW313" s="808"/>
      <c r="BX313" s="808"/>
      <c r="BY313" s="808"/>
      <c r="BZ313" s="808"/>
      <c r="CA313" s="808"/>
      <c r="CB313" s="808"/>
      <c r="CC313" s="808"/>
      <c r="CD313" s="808"/>
      <c r="CE313" s="808"/>
      <c r="CF313" s="808"/>
      <c r="CG313" s="808"/>
      <c r="CH313" s="808"/>
      <c r="CI313" s="808"/>
      <c r="CJ313" s="808"/>
      <c r="CK313" s="808"/>
      <c r="CL313" s="808"/>
      <c r="CM313" s="808"/>
      <c r="CN313" s="808"/>
      <c r="CO313" s="808"/>
      <c r="CP313" s="808"/>
      <c r="CQ313" s="808"/>
      <c r="CR313" s="808"/>
      <c r="CS313" s="808"/>
      <c r="CT313" s="808"/>
      <c r="CU313" s="808"/>
      <c r="CV313" s="808"/>
      <c r="CW313" s="808"/>
      <c r="CX313" s="808"/>
      <c r="CY313" s="808"/>
      <c r="CZ313" s="808"/>
      <c r="DA313" s="808"/>
      <c r="DB313" s="808"/>
      <c r="DC313" s="808"/>
      <c r="DD313" s="808"/>
      <c r="DE313" s="808"/>
      <c r="DF313" s="808"/>
      <c r="DG313" s="808"/>
      <c r="DH313" s="808"/>
      <c r="DI313" s="808"/>
      <c r="DJ313" s="808"/>
      <c r="DK313" s="808"/>
      <c r="DL313" s="808"/>
      <c r="DM313" s="808"/>
      <c r="DN313" s="808"/>
      <c r="DO313" s="808"/>
      <c r="DP313" s="808"/>
    </row>
    <row r="314" spans="1:120">
      <c r="A314" s="821"/>
      <c r="B314" s="813" t="s">
        <v>1350</v>
      </c>
      <c r="C314" s="814" t="s">
        <v>408</v>
      </c>
      <c r="D314" s="815">
        <v>119199.2</v>
      </c>
      <c r="E314" s="815">
        <f>170578011.73/1000</f>
        <v>170578.01173</v>
      </c>
      <c r="K314" s="808"/>
      <c r="M314" s="808"/>
      <c r="N314" s="808"/>
      <c r="O314" s="808"/>
      <c r="P314" s="808"/>
      <c r="Q314" s="808"/>
      <c r="R314" s="808"/>
      <c r="S314" s="808"/>
      <c r="T314" s="808"/>
      <c r="U314" s="808"/>
      <c r="V314" s="808"/>
      <c r="W314" s="808"/>
      <c r="X314" s="808"/>
      <c r="Y314" s="808"/>
      <c r="Z314" s="808"/>
      <c r="AA314" s="808"/>
      <c r="AB314" s="808"/>
      <c r="AC314" s="808"/>
      <c r="AD314" s="808"/>
      <c r="AE314" s="808"/>
      <c r="AF314" s="808"/>
      <c r="AG314" s="808"/>
      <c r="AH314" s="808"/>
      <c r="AI314" s="808"/>
      <c r="AJ314" s="808"/>
      <c r="AK314" s="808"/>
      <c r="AL314" s="808"/>
      <c r="AM314" s="808"/>
      <c r="AN314" s="808"/>
      <c r="AO314" s="808"/>
      <c r="AP314" s="808"/>
      <c r="AQ314" s="808"/>
      <c r="AR314" s="808"/>
      <c r="AS314" s="808"/>
      <c r="AT314" s="808"/>
      <c r="AU314" s="808"/>
      <c r="AV314" s="808"/>
      <c r="AW314" s="808"/>
      <c r="AX314" s="808"/>
      <c r="AY314" s="808"/>
      <c r="AZ314" s="808"/>
      <c r="BA314" s="808"/>
      <c r="BB314" s="808"/>
      <c r="BC314" s="808"/>
      <c r="BD314" s="808"/>
      <c r="BE314" s="808"/>
      <c r="BF314" s="808"/>
      <c r="BG314" s="808"/>
      <c r="BH314" s="808"/>
      <c r="BI314" s="808"/>
      <c r="BJ314" s="808"/>
      <c r="BK314" s="808"/>
      <c r="BL314" s="808"/>
      <c r="BM314" s="808"/>
      <c r="BN314" s="808"/>
      <c r="BO314" s="808"/>
      <c r="BP314" s="808"/>
      <c r="BQ314" s="808"/>
      <c r="BR314" s="808"/>
      <c r="BS314" s="808"/>
      <c r="BT314" s="808"/>
      <c r="BU314" s="808"/>
      <c r="BV314" s="808"/>
      <c r="BW314" s="808"/>
      <c r="BX314" s="808"/>
      <c r="BY314" s="808"/>
      <c r="BZ314" s="808"/>
      <c r="CA314" s="808"/>
      <c r="CB314" s="808"/>
      <c r="CC314" s="808"/>
      <c r="CD314" s="808"/>
      <c r="CE314" s="808"/>
      <c r="CF314" s="808"/>
      <c r="CG314" s="808"/>
      <c r="CH314" s="808"/>
      <c r="CI314" s="808"/>
      <c r="CJ314" s="808"/>
      <c r="CK314" s="808"/>
      <c r="CL314" s="808"/>
      <c r="CM314" s="808"/>
      <c r="CN314" s="808"/>
      <c r="CO314" s="808"/>
      <c r="CP314" s="808"/>
      <c r="CQ314" s="808"/>
      <c r="CR314" s="808"/>
      <c r="CS314" s="808"/>
      <c r="CT314" s="808"/>
      <c r="CU314" s="808"/>
      <c r="CV314" s="808"/>
      <c r="CW314" s="808"/>
      <c r="CX314" s="808"/>
      <c r="CY314" s="808"/>
      <c r="CZ314" s="808"/>
      <c r="DA314" s="808"/>
      <c r="DB314" s="808"/>
      <c r="DC314" s="808"/>
      <c r="DD314" s="808"/>
      <c r="DE314" s="808"/>
      <c r="DF314" s="808"/>
      <c r="DG314" s="808"/>
      <c r="DH314" s="808"/>
      <c r="DI314" s="808"/>
      <c r="DJ314" s="808"/>
      <c r="DK314" s="808"/>
      <c r="DL314" s="808"/>
      <c r="DM314" s="808"/>
      <c r="DN314" s="808"/>
      <c r="DO314" s="808"/>
      <c r="DP314" s="808"/>
    </row>
    <row r="315" spans="1:120">
      <c r="A315" s="821"/>
      <c r="B315" s="813" t="s">
        <v>1351</v>
      </c>
      <c r="C315" s="814" t="s">
        <v>409</v>
      </c>
      <c r="D315" s="815">
        <v>0</v>
      </c>
      <c r="E315" s="815">
        <f>51261584.41/1000</f>
        <v>51261.584409999996</v>
      </c>
      <c r="K315" s="808"/>
      <c r="M315" s="808"/>
      <c r="N315" s="808"/>
      <c r="O315" s="808"/>
      <c r="P315" s="808"/>
      <c r="Q315" s="808"/>
      <c r="R315" s="808"/>
      <c r="S315" s="808"/>
      <c r="T315" s="808"/>
      <c r="U315" s="808"/>
      <c r="V315" s="808"/>
      <c r="W315" s="808"/>
      <c r="X315" s="808"/>
      <c r="Y315" s="808"/>
      <c r="Z315" s="808"/>
      <c r="AA315" s="808"/>
      <c r="AB315" s="808"/>
      <c r="AC315" s="808"/>
      <c r="AD315" s="808"/>
      <c r="AE315" s="808"/>
      <c r="AF315" s="808"/>
      <c r="AG315" s="808"/>
      <c r="AH315" s="808"/>
      <c r="AI315" s="808"/>
      <c r="AJ315" s="808"/>
      <c r="AK315" s="808"/>
      <c r="AL315" s="808"/>
      <c r="AM315" s="808"/>
      <c r="AN315" s="808"/>
      <c r="AO315" s="808"/>
      <c r="AP315" s="808"/>
      <c r="AQ315" s="808"/>
      <c r="AR315" s="808"/>
      <c r="AS315" s="808"/>
      <c r="AT315" s="808"/>
      <c r="AU315" s="808"/>
      <c r="AV315" s="808"/>
      <c r="AW315" s="808"/>
      <c r="AX315" s="808"/>
      <c r="AY315" s="808"/>
      <c r="AZ315" s="808"/>
      <c r="BA315" s="808"/>
      <c r="BB315" s="808"/>
      <c r="BC315" s="808"/>
      <c r="BD315" s="808"/>
      <c r="BE315" s="808"/>
      <c r="BF315" s="808"/>
      <c r="BG315" s="808"/>
      <c r="BH315" s="808"/>
      <c r="BI315" s="808"/>
      <c r="BJ315" s="808"/>
      <c r="BK315" s="808"/>
      <c r="BL315" s="808"/>
      <c r="BM315" s="808"/>
      <c r="BN315" s="808"/>
      <c r="BO315" s="808"/>
      <c r="BP315" s="808"/>
      <c r="BQ315" s="808"/>
      <c r="BR315" s="808"/>
      <c r="BS315" s="808"/>
      <c r="BT315" s="808"/>
      <c r="BU315" s="808"/>
      <c r="BV315" s="808"/>
      <c r="BW315" s="808"/>
      <c r="BX315" s="808"/>
      <c r="BY315" s="808"/>
      <c r="BZ315" s="808"/>
      <c r="CA315" s="808"/>
      <c r="CB315" s="808"/>
      <c r="CC315" s="808"/>
      <c r="CD315" s="808"/>
      <c r="CE315" s="808"/>
      <c r="CF315" s="808"/>
      <c r="CG315" s="808"/>
      <c r="CH315" s="808"/>
      <c r="CI315" s="808"/>
      <c r="CJ315" s="808"/>
      <c r="CK315" s="808"/>
      <c r="CL315" s="808"/>
      <c r="CM315" s="808"/>
      <c r="CN315" s="808"/>
      <c r="CO315" s="808"/>
      <c r="CP315" s="808"/>
      <c r="CQ315" s="808"/>
      <c r="CR315" s="808"/>
      <c r="CS315" s="808"/>
      <c r="CT315" s="808"/>
      <c r="CU315" s="808"/>
      <c r="CV315" s="808"/>
      <c r="CW315" s="808"/>
      <c r="CX315" s="808"/>
      <c r="CY315" s="808"/>
      <c r="CZ315" s="808"/>
      <c r="DA315" s="808"/>
      <c r="DB315" s="808"/>
      <c r="DC315" s="808"/>
      <c r="DD315" s="808"/>
      <c r="DE315" s="808"/>
      <c r="DF315" s="808"/>
      <c r="DG315" s="808"/>
      <c r="DH315" s="808"/>
      <c r="DI315" s="808"/>
      <c r="DJ315" s="808"/>
      <c r="DK315" s="808"/>
      <c r="DL315" s="808"/>
      <c r="DM315" s="808"/>
      <c r="DN315" s="808"/>
      <c r="DO315" s="808"/>
      <c r="DP315" s="808"/>
    </row>
    <row r="316" spans="1:120">
      <c r="A316" s="821"/>
      <c r="B316" s="813" t="s">
        <v>1352</v>
      </c>
      <c r="C316" s="814" t="s">
        <v>410</v>
      </c>
      <c r="D316" s="815">
        <v>0</v>
      </c>
      <c r="E316" s="815">
        <f>54206005.09/1000</f>
        <v>54206.005090000006</v>
      </c>
      <c r="K316" s="808"/>
      <c r="M316" s="808"/>
      <c r="N316" s="808"/>
      <c r="O316" s="808"/>
      <c r="P316" s="808"/>
      <c r="Q316" s="808"/>
      <c r="R316" s="808"/>
      <c r="S316" s="808"/>
      <c r="T316" s="808"/>
      <c r="U316" s="808"/>
      <c r="V316" s="808"/>
      <c r="W316" s="808"/>
      <c r="X316" s="808"/>
      <c r="Y316" s="808"/>
      <c r="Z316" s="808"/>
      <c r="AA316" s="808"/>
      <c r="AB316" s="808"/>
      <c r="AC316" s="808"/>
      <c r="AD316" s="808"/>
      <c r="AE316" s="808"/>
      <c r="AF316" s="808"/>
      <c r="AG316" s="808"/>
      <c r="AH316" s="808"/>
      <c r="AI316" s="808"/>
      <c r="AJ316" s="808"/>
      <c r="AK316" s="808"/>
      <c r="AL316" s="808"/>
      <c r="AM316" s="808"/>
      <c r="AN316" s="808"/>
      <c r="AO316" s="808"/>
      <c r="AP316" s="808"/>
      <c r="AQ316" s="808"/>
      <c r="AR316" s="808"/>
      <c r="AS316" s="808"/>
      <c r="AT316" s="808"/>
      <c r="AU316" s="808"/>
      <c r="AV316" s="808"/>
      <c r="AW316" s="808"/>
      <c r="AX316" s="808"/>
      <c r="AY316" s="808"/>
      <c r="AZ316" s="808"/>
      <c r="BA316" s="808"/>
      <c r="BB316" s="808"/>
      <c r="BC316" s="808"/>
      <c r="BD316" s="808"/>
      <c r="BE316" s="808"/>
      <c r="BF316" s="808"/>
      <c r="BG316" s="808"/>
      <c r="BH316" s="808"/>
      <c r="BI316" s="808"/>
      <c r="BJ316" s="808"/>
      <c r="BK316" s="808"/>
      <c r="BL316" s="808"/>
      <c r="BM316" s="808"/>
      <c r="BN316" s="808"/>
      <c r="BO316" s="808"/>
      <c r="BP316" s="808"/>
      <c r="BQ316" s="808"/>
      <c r="BR316" s="808"/>
      <c r="BS316" s="808"/>
      <c r="BT316" s="808"/>
      <c r="BU316" s="808"/>
      <c r="BV316" s="808"/>
      <c r="BW316" s="808"/>
      <c r="BX316" s="808"/>
      <c r="BY316" s="808"/>
      <c r="BZ316" s="808"/>
      <c r="CA316" s="808"/>
      <c r="CB316" s="808"/>
      <c r="CC316" s="808"/>
      <c r="CD316" s="808"/>
      <c r="CE316" s="808"/>
      <c r="CF316" s="808"/>
      <c r="CG316" s="808"/>
      <c r="CH316" s="808"/>
      <c r="CI316" s="808"/>
      <c r="CJ316" s="808"/>
      <c r="CK316" s="808"/>
      <c r="CL316" s="808"/>
      <c r="CM316" s="808"/>
      <c r="CN316" s="808"/>
      <c r="CO316" s="808"/>
      <c r="CP316" s="808"/>
      <c r="CQ316" s="808"/>
      <c r="CR316" s="808"/>
      <c r="CS316" s="808"/>
      <c r="CT316" s="808"/>
      <c r="CU316" s="808"/>
      <c r="CV316" s="808"/>
      <c r="CW316" s="808"/>
      <c r="CX316" s="808"/>
      <c r="CY316" s="808"/>
      <c r="CZ316" s="808"/>
      <c r="DA316" s="808"/>
      <c r="DB316" s="808"/>
      <c r="DC316" s="808"/>
      <c r="DD316" s="808"/>
      <c r="DE316" s="808"/>
      <c r="DF316" s="808"/>
      <c r="DG316" s="808"/>
      <c r="DH316" s="808"/>
      <c r="DI316" s="808"/>
      <c r="DJ316" s="808"/>
      <c r="DK316" s="808"/>
      <c r="DL316" s="808"/>
      <c r="DM316" s="808"/>
      <c r="DN316" s="808"/>
      <c r="DO316" s="808"/>
      <c r="DP316" s="808"/>
    </row>
    <row r="317" spans="1:120">
      <c r="A317" s="821"/>
      <c r="B317" s="813" t="s">
        <v>1353</v>
      </c>
      <c r="C317" s="814" t="s">
        <v>411</v>
      </c>
      <c r="D317" s="815">
        <v>3238716.5</v>
      </c>
      <c r="E317" s="815">
        <f>2010436642.32/1000+56925876.54/1000+3510866952.14/1000</f>
        <v>5578229.4709999999</v>
      </c>
      <c r="K317" s="808"/>
      <c r="M317" s="808"/>
      <c r="N317" s="808"/>
      <c r="O317" s="808"/>
      <c r="P317" s="808"/>
      <c r="Q317" s="808"/>
      <c r="R317" s="808"/>
      <c r="S317" s="808"/>
      <c r="T317" s="808"/>
      <c r="U317" s="808"/>
      <c r="V317" s="808"/>
      <c r="W317" s="808"/>
      <c r="X317" s="808"/>
      <c r="Y317" s="808"/>
      <c r="Z317" s="808"/>
      <c r="AA317" s="808"/>
      <c r="AB317" s="808"/>
      <c r="AC317" s="808"/>
      <c r="AD317" s="808"/>
      <c r="AE317" s="808"/>
      <c r="AF317" s="808"/>
      <c r="AG317" s="808"/>
      <c r="AH317" s="808"/>
      <c r="AI317" s="808"/>
      <c r="AJ317" s="808"/>
      <c r="AK317" s="808"/>
      <c r="AL317" s="808"/>
      <c r="AM317" s="808"/>
      <c r="AN317" s="808"/>
      <c r="AO317" s="808"/>
      <c r="AP317" s="808"/>
      <c r="AQ317" s="808"/>
      <c r="AR317" s="808"/>
      <c r="AS317" s="808"/>
      <c r="AT317" s="808"/>
      <c r="AU317" s="808"/>
      <c r="AV317" s="808"/>
      <c r="AW317" s="808"/>
      <c r="AX317" s="808"/>
      <c r="AY317" s="808"/>
      <c r="AZ317" s="808"/>
      <c r="BA317" s="808"/>
      <c r="BB317" s="808"/>
      <c r="BC317" s="808"/>
      <c r="BD317" s="808"/>
      <c r="BE317" s="808"/>
      <c r="BF317" s="808"/>
      <c r="BG317" s="808"/>
      <c r="BH317" s="808"/>
      <c r="BI317" s="808"/>
      <c r="BJ317" s="808"/>
      <c r="BK317" s="808"/>
      <c r="BL317" s="808"/>
      <c r="BM317" s="808"/>
      <c r="BN317" s="808"/>
      <c r="BO317" s="808"/>
      <c r="BP317" s="808"/>
      <c r="BQ317" s="808"/>
      <c r="BR317" s="808"/>
      <c r="BS317" s="808"/>
      <c r="BT317" s="808"/>
      <c r="BU317" s="808"/>
      <c r="BV317" s="808"/>
      <c r="BW317" s="808"/>
      <c r="BX317" s="808"/>
      <c r="BY317" s="808"/>
      <c r="BZ317" s="808"/>
      <c r="CA317" s="808"/>
      <c r="CB317" s="808"/>
      <c r="CC317" s="808"/>
      <c r="CD317" s="808"/>
      <c r="CE317" s="808"/>
      <c r="CF317" s="808"/>
      <c r="CG317" s="808"/>
      <c r="CH317" s="808"/>
      <c r="CI317" s="808"/>
      <c r="CJ317" s="808"/>
      <c r="CK317" s="808"/>
      <c r="CL317" s="808"/>
      <c r="CM317" s="808"/>
      <c r="CN317" s="808"/>
      <c r="CO317" s="808"/>
      <c r="CP317" s="808"/>
      <c r="CQ317" s="808"/>
      <c r="CR317" s="808"/>
      <c r="CS317" s="808"/>
      <c r="CT317" s="808"/>
      <c r="CU317" s="808"/>
      <c r="CV317" s="808"/>
      <c r="CW317" s="808"/>
      <c r="CX317" s="808"/>
      <c r="CY317" s="808"/>
      <c r="CZ317" s="808"/>
      <c r="DA317" s="808"/>
      <c r="DB317" s="808"/>
      <c r="DC317" s="808"/>
      <c r="DD317" s="808"/>
      <c r="DE317" s="808"/>
      <c r="DF317" s="808"/>
      <c r="DG317" s="808"/>
      <c r="DH317" s="808"/>
      <c r="DI317" s="808"/>
      <c r="DJ317" s="808"/>
      <c r="DK317" s="808"/>
      <c r="DL317" s="808"/>
      <c r="DM317" s="808"/>
      <c r="DN317" s="808"/>
      <c r="DO317" s="808"/>
      <c r="DP317" s="808"/>
    </row>
    <row r="318" spans="1:120">
      <c r="A318" s="821"/>
      <c r="B318" s="813" t="s">
        <v>1354</v>
      </c>
      <c r="C318" s="814" t="s">
        <v>1399</v>
      </c>
      <c r="D318" s="815">
        <v>3216620.69</v>
      </c>
      <c r="E318" s="815">
        <f>200000/1000+200000/1000+161082266.8/1000+1726354731.48/1000+610000/1000+873269907.48/1000</f>
        <v>2761716.9057600005</v>
      </c>
      <c r="K318" s="808"/>
      <c r="M318" s="808"/>
      <c r="N318" s="808"/>
      <c r="O318" s="808"/>
      <c r="P318" s="808"/>
      <c r="Q318" s="808"/>
      <c r="R318" s="808"/>
      <c r="S318" s="808"/>
      <c r="T318" s="808"/>
      <c r="U318" s="808"/>
      <c r="V318" s="808"/>
      <c r="W318" s="808"/>
      <c r="X318" s="808"/>
      <c r="Y318" s="808"/>
      <c r="Z318" s="808"/>
      <c r="AA318" s="808"/>
      <c r="AB318" s="808"/>
      <c r="AC318" s="808"/>
      <c r="AD318" s="808"/>
      <c r="AE318" s="808"/>
      <c r="AF318" s="808"/>
      <c r="AG318" s="808"/>
      <c r="AH318" s="808"/>
      <c r="AI318" s="808"/>
      <c r="AJ318" s="808"/>
      <c r="AK318" s="808"/>
      <c r="AL318" s="808"/>
      <c r="AM318" s="808"/>
      <c r="AN318" s="808"/>
      <c r="AO318" s="808"/>
      <c r="AP318" s="808"/>
      <c r="AQ318" s="808"/>
      <c r="AR318" s="808"/>
      <c r="AS318" s="808"/>
      <c r="AT318" s="808"/>
      <c r="AU318" s="808"/>
      <c r="AV318" s="808"/>
      <c r="AW318" s="808"/>
      <c r="AX318" s="808"/>
      <c r="AY318" s="808"/>
      <c r="AZ318" s="808"/>
      <c r="BA318" s="808"/>
      <c r="BB318" s="808"/>
      <c r="BC318" s="808"/>
      <c r="BD318" s="808"/>
      <c r="BE318" s="808"/>
      <c r="BF318" s="808"/>
      <c r="BG318" s="808"/>
      <c r="BH318" s="808"/>
      <c r="BI318" s="808"/>
      <c r="BJ318" s="808"/>
      <c r="BK318" s="808"/>
      <c r="BL318" s="808"/>
      <c r="BM318" s="808"/>
      <c r="BN318" s="808"/>
      <c r="BO318" s="808"/>
      <c r="BP318" s="808"/>
      <c r="BQ318" s="808"/>
      <c r="BR318" s="808"/>
      <c r="BS318" s="808"/>
      <c r="BT318" s="808"/>
      <c r="BU318" s="808"/>
      <c r="BV318" s="808"/>
      <c r="BW318" s="808"/>
      <c r="BX318" s="808"/>
      <c r="BY318" s="808"/>
      <c r="BZ318" s="808"/>
      <c r="CA318" s="808"/>
      <c r="CB318" s="808"/>
      <c r="CC318" s="808"/>
      <c r="CD318" s="808"/>
      <c r="CE318" s="808"/>
      <c r="CF318" s="808"/>
      <c r="CG318" s="808"/>
      <c r="CH318" s="808"/>
      <c r="CI318" s="808"/>
      <c r="CJ318" s="808"/>
      <c r="CK318" s="808"/>
      <c r="CL318" s="808"/>
      <c r="CM318" s="808"/>
      <c r="CN318" s="808"/>
      <c r="CO318" s="808"/>
      <c r="CP318" s="808"/>
      <c r="CQ318" s="808"/>
      <c r="CR318" s="808"/>
      <c r="CS318" s="808"/>
      <c r="CT318" s="808"/>
      <c r="CU318" s="808"/>
      <c r="CV318" s="808"/>
      <c r="CW318" s="808"/>
      <c r="CX318" s="808"/>
      <c r="CY318" s="808"/>
      <c r="CZ318" s="808"/>
      <c r="DA318" s="808"/>
      <c r="DB318" s="808"/>
      <c r="DC318" s="808"/>
      <c r="DD318" s="808"/>
      <c r="DE318" s="808"/>
      <c r="DF318" s="808"/>
      <c r="DG318" s="808"/>
      <c r="DH318" s="808"/>
      <c r="DI318" s="808"/>
      <c r="DJ318" s="808"/>
      <c r="DK318" s="808"/>
      <c r="DL318" s="808"/>
      <c r="DM318" s="808"/>
      <c r="DN318" s="808"/>
      <c r="DO318" s="808"/>
      <c r="DP318" s="808"/>
    </row>
    <row r="319" spans="1:120">
      <c r="A319" s="821"/>
      <c r="B319" s="813" t="s">
        <v>1201</v>
      </c>
      <c r="C319" s="816" t="s">
        <v>82</v>
      </c>
      <c r="D319" s="815">
        <f>SUM(D298:D318)</f>
        <v>11260170.689999999</v>
      </c>
      <c r="E319" s="815">
        <f>SUM(E298:E318)</f>
        <v>18919861.151830003</v>
      </c>
      <c r="F319" s="214">
        <f>+E319-income!D15/1000</f>
        <v>-42847621.296969771</v>
      </c>
      <c r="K319" s="808"/>
      <c r="M319" s="808"/>
      <c r="N319" s="808"/>
      <c r="O319" s="808"/>
      <c r="P319" s="808"/>
      <c r="Q319" s="808"/>
      <c r="R319" s="808"/>
      <c r="S319" s="808"/>
      <c r="T319" s="808"/>
      <c r="U319" s="808"/>
      <c r="V319" s="808"/>
      <c r="W319" s="808"/>
      <c r="X319" s="808"/>
      <c r="Y319" s="808"/>
      <c r="Z319" s="808"/>
      <c r="AA319" s="808"/>
      <c r="AB319" s="808"/>
      <c r="AC319" s="808"/>
      <c r="AD319" s="808"/>
      <c r="AE319" s="808"/>
      <c r="AF319" s="808"/>
      <c r="AG319" s="808"/>
      <c r="AH319" s="808"/>
      <c r="AI319" s="808"/>
      <c r="AJ319" s="808"/>
      <c r="AK319" s="808"/>
      <c r="AL319" s="808"/>
      <c r="AM319" s="808"/>
      <c r="AN319" s="808"/>
      <c r="AO319" s="808"/>
      <c r="AP319" s="808"/>
      <c r="AQ319" s="808"/>
      <c r="AR319" s="808"/>
      <c r="AS319" s="808"/>
      <c r="AT319" s="808"/>
      <c r="AU319" s="808"/>
      <c r="AV319" s="808"/>
      <c r="AW319" s="808"/>
      <c r="AX319" s="808"/>
      <c r="AY319" s="808"/>
      <c r="AZ319" s="808"/>
      <c r="BA319" s="808"/>
      <c r="BB319" s="808"/>
      <c r="BC319" s="808"/>
      <c r="BD319" s="808"/>
      <c r="BE319" s="808"/>
      <c r="BF319" s="808"/>
      <c r="BG319" s="808"/>
      <c r="BH319" s="808"/>
      <c r="BI319" s="808"/>
      <c r="BJ319" s="808"/>
      <c r="BK319" s="808"/>
      <c r="BL319" s="808"/>
      <c r="BM319" s="808"/>
      <c r="BN319" s="808"/>
      <c r="BO319" s="808"/>
      <c r="BP319" s="808"/>
      <c r="BQ319" s="808"/>
      <c r="BR319" s="808"/>
      <c r="BS319" s="808"/>
      <c r="BT319" s="808"/>
      <c r="BU319" s="808"/>
      <c r="BV319" s="808"/>
      <c r="BW319" s="808"/>
      <c r="BX319" s="808"/>
      <c r="BY319" s="808"/>
      <c r="BZ319" s="808"/>
      <c r="CA319" s="808"/>
      <c r="CB319" s="808"/>
      <c r="CC319" s="808"/>
      <c r="CD319" s="808"/>
      <c r="CE319" s="808"/>
      <c r="CF319" s="808"/>
      <c r="CG319" s="808"/>
      <c r="CH319" s="808"/>
      <c r="CI319" s="808"/>
      <c r="CJ319" s="808"/>
      <c r="CK319" s="808"/>
      <c r="CL319" s="808"/>
      <c r="CM319" s="808"/>
      <c r="CN319" s="808"/>
      <c r="CO319" s="808"/>
      <c r="CP319" s="808"/>
      <c r="CQ319" s="808"/>
      <c r="CR319" s="808"/>
      <c r="CS319" s="808"/>
      <c r="CT319" s="808"/>
      <c r="CU319" s="808"/>
      <c r="CV319" s="808"/>
      <c r="CW319" s="808"/>
      <c r="CX319" s="808"/>
      <c r="CY319" s="808"/>
      <c r="CZ319" s="808"/>
      <c r="DA319" s="808"/>
      <c r="DB319" s="808"/>
      <c r="DC319" s="808"/>
      <c r="DD319" s="808"/>
      <c r="DE319" s="808"/>
      <c r="DF319" s="808"/>
      <c r="DG319" s="808"/>
      <c r="DH319" s="808"/>
      <c r="DI319" s="808"/>
      <c r="DJ319" s="808"/>
      <c r="DK319" s="808"/>
      <c r="DL319" s="808"/>
      <c r="DM319" s="808"/>
      <c r="DN319" s="808"/>
      <c r="DO319" s="808"/>
      <c r="DP319" s="808"/>
    </row>
    <row r="320" spans="1:120">
      <c r="A320" s="821" t="s">
        <v>1201</v>
      </c>
      <c r="B320" s="807" t="s">
        <v>1201</v>
      </c>
      <c r="C320" s="808" t="s">
        <v>1201</v>
      </c>
      <c r="D320" s="214" t="s">
        <v>1201</v>
      </c>
      <c r="E320" s="214">
        <f>+E319-income!D15/1000</f>
        <v>-42847621.296969771</v>
      </c>
      <c r="K320" s="808"/>
      <c r="M320" s="808"/>
      <c r="N320" s="808"/>
      <c r="O320" s="808"/>
      <c r="P320" s="808"/>
      <c r="Q320" s="808"/>
      <c r="R320" s="808"/>
      <c r="S320" s="808"/>
      <c r="T320" s="808"/>
      <c r="U320" s="808"/>
      <c r="V320" s="808"/>
      <c r="W320" s="808"/>
      <c r="X320" s="808"/>
      <c r="Y320" s="808"/>
      <c r="Z320" s="808"/>
      <c r="AA320" s="808"/>
      <c r="AB320" s="808"/>
      <c r="AC320" s="808"/>
      <c r="AD320" s="808"/>
      <c r="AE320" s="808"/>
      <c r="AF320" s="808"/>
      <c r="AG320" s="808"/>
      <c r="AH320" s="808"/>
      <c r="AI320" s="808"/>
      <c r="AJ320" s="808"/>
      <c r="AK320" s="808"/>
      <c r="AL320" s="808"/>
      <c r="AM320" s="808"/>
      <c r="AN320" s="808"/>
      <c r="AO320" s="808"/>
      <c r="AP320" s="808"/>
      <c r="AQ320" s="808"/>
      <c r="AR320" s="808"/>
      <c r="AS320" s="808"/>
      <c r="AT320" s="808"/>
      <c r="AU320" s="808"/>
      <c r="AV320" s="808"/>
      <c r="AW320" s="808"/>
      <c r="AX320" s="808"/>
      <c r="AY320" s="808"/>
      <c r="AZ320" s="808"/>
      <c r="BA320" s="808"/>
      <c r="BB320" s="808"/>
      <c r="BC320" s="808"/>
      <c r="BD320" s="808"/>
      <c r="BE320" s="808"/>
      <c r="BF320" s="808"/>
      <c r="BG320" s="808"/>
      <c r="BH320" s="808"/>
      <c r="BI320" s="808"/>
      <c r="BJ320" s="808"/>
      <c r="BK320" s="808"/>
      <c r="BL320" s="808"/>
      <c r="BM320" s="808"/>
      <c r="BN320" s="808"/>
      <c r="BO320" s="808"/>
      <c r="BP320" s="984"/>
      <c r="BQ320" s="984"/>
      <c r="BR320" s="984"/>
      <c r="BS320" s="984"/>
      <c r="BT320" s="984"/>
      <c r="BU320" s="984"/>
      <c r="BV320" s="984"/>
      <c r="BW320" s="984"/>
      <c r="BX320" s="984"/>
      <c r="BY320" s="984"/>
      <c r="BZ320" s="984"/>
      <c r="CA320" s="984"/>
      <c r="CB320" s="984"/>
      <c r="CC320" s="984"/>
      <c r="CD320" s="984"/>
      <c r="CE320" s="984"/>
      <c r="CF320" s="984"/>
      <c r="CG320" s="984"/>
      <c r="CH320" s="984"/>
      <c r="CI320" s="984"/>
      <c r="CJ320" s="984"/>
      <c r="CK320" s="984"/>
      <c r="CL320" s="984"/>
      <c r="CM320" s="984"/>
      <c r="CN320" s="984"/>
      <c r="CO320" s="984"/>
      <c r="CP320" s="984"/>
      <c r="CQ320" s="984"/>
      <c r="CR320" s="984"/>
      <c r="CS320" s="984"/>
      <c r="CT320" s="984"/>
      <c r="CU320" s="984"/>
      <c r="CV320" s="984"/>
      <c r="CW320" s="984"/>
      <c r="CX320" s="984"/>
      <c r="CY320" s="984"/>
      <c r="CZ320" s="984"/>
      <c r="DA320" s="984"/>
      <c r="DB320" s="984"/>
      <c r="DC320" s="984"/>
      <c r="DD320" s="984"/>
      <c r="DE320" s="984"/>
      <c r="DF320" s="984"/>
      <c r="DG320" s="984"/>
      <c r="DH320" s="984"/>
      <c r="DI320" s="984"/>
      <c r="DJ320" s="984"/>
      <c r="DK320" s="984"/>
      <c r="DL320" s="984"/>
      <c r="DM320" s="984"/>
      <c r="DN320" s="984"/>
      <c r="DO320" s="984"/>
      <c r="DP320" s="984"/>
    </row>
    <row r="321" spans="1:120">
      <c r="A321" s="821"/>
      <c r="B321" s="809" t="s">
        <v>1355</v>
      </c>
      <c r="C321" s="808"/>
      <c r="K321" s="808"/>
      <c r="M321" s="808"/>
      <c r="N321" s="808"/>
      <c r="O321" s="808"/>
      <c r="P321" s="808"/>
      <c r="Q321" s="808"/>
      <c r="R321" s="808"/>
      <c r="S321" s="808"/>
      <c r="T321" s="808"/>
      <c r="U321" s="808"/>
      <c r="V321" s="808"/>
      <c r="W321" s="808"/>
      <c r="X321" s="808"/>
      <c r="Y321" s="808"/>
      <c r="Z321" s="808"/>
      <c r="AA321" s="808"/>
      <c r="AB321" s="808"/>
      <c r="AC321" s="808"/>
      <c r="AD321" s="808"/>
      <c r="AE321" s="808"/>
      <c r="AF321" s="808"/>
      <c r="AG321" s="808"/>
      <c r="AH321" s="808"/>
      <c r="AI321" s="808"/>
      <c r="AJ321" s="808"/>
      <c r="AK321" s="808"/>
      <c r="AL321" s="808"/>
      <c r="AM321" s="808"/>
      <c r="AN321" s="808"/>
      <c r="AO321" s="808"/>
      <c r="AP321" s="808"/>
      <c r="AQ321" s="808"/>
      <c r="AR321" s="808"/>
      <c r="AS321" s="808"/>
      <c r="AT321" s="808"/>
      <c r="AU321" s="808"/>
      <c r="AV321" s="808"/>
      <c r="AW321" s="808"/>
      <c r="AX321" s="808"/>
      <c r="AY321" s="808"/>
      <c r="AZ321" s="808"/>
      <c r="BA321" s="808"/>
      <c r="BB321" s="808"/>
      <c r="BC321" s="808"/>
      <c r="BD321" s="808"/>
      <c r="BE321" s="808"/>
      <c r="BF321" s="808"/>
      <c r="BG321" s="808"/>
      <c r="BH321" s="808"/>
      <c r="BI321" s="808"/>
      <c r="BJ321" s="808"/>
      <c r="BK321" s="808"/>
      <c r="BL321" s="808"/>
      <c r="BM321" s="808"/>
      <c r="BN321" s="808"/>
      <c r="BO321" s="808"/>
      <c r="BP321" s="808"/>
      <c r="BQ321" s="808"/>
      <c r="BR321" s="808"/>
      <c r="BS321" s="808"/>
      <c r="BT321" s="808"/>
      <c r="BU321" s="808"/>
      <c r="BV321" s="808"/>
      <c r="BW321" s="808"/>
      <c r="BX321" s="808"/>
      <c r="BY321" s="808"/>
      <c r="BZ321" s="808"/>
      <c r="CA321" s="808"/>
      <c r="CB321" s="808"/>
      <c r="CC321" s="808"/>
      <c r="CD321" s="808"/>
      <c r="CE321" s="808"/>
      <c r="CF321" s="808"/>
      <c r="CG321" s="808"/>
      <c r="CH321" s="808"/>
      <c r="CI321" s="808"/>
      <c r="CJ321" s="808"/>
      <c r="CK321" s="808"/>
      <c r="CL321" s="808"/>
      <c r="CM321" s="808"/>
      <c r="CN321" s="808"/>
      <c r="CO321" s="808"/>
      <c r="CP321" s="808"/>
      <c r="CQ321" s="808"/>
      <c r="CR321" s="808"/>
      <c r="CS321" s="808"/>
      <c r="CT321" s="808"/>
      <c r="CU321" s="808"/>
      <c r="CV321" s="808"/>
      <c r="CW321" s="808"/>
      <c r="CX321" s="808"/>
      <c r="CY321" s="808"/>
      <c r="CZ321" s="808"/>
      <c r="DA321" s="808"/>
      <c r="DB321" s="808"/>
      <c r="DC321" s="808"/>
      <c r="DD321" s="808"/>
      <c r="DE321" s="808"/>
      <c r="DF321" s="808"/>
      <c r="DG321" s="808"/>
      <c r="DH321" s="808"/>
      <c r="DI321" s="808"/>
      <c r="DJ321" s="808"/>
      <c r="DK321" s="808"/>
      <c r="DL321" s="808"/>
      <c r="DM321" s="808"/>
      <c r="DN321" s="808"/>
      <c r="DO321" s="808"/>
      <c r="DP321" s="808"/>
    </row>
    <row r="322" spans="1:120">
      <c r="A322" s="821"/>
      <c r="B322" s="807"/>
      <c r="C322" s="808"/>
      <c r="E322" s="810" t="s">
        <v>1203</v>
      </c>
      <c r="K322" s="808"/>
      <c r="M322" s="808"/>
      <c r="N322" s="808"/>
      <c r="O322" s="808"/>
      <c r="P322" s="808"/>
      <c r="Q322" s="808"/>
      <c r="R322" s="808"/>
      <c r="S322" s="808"/>
      <c r="T322" s="808"/>
      <c r="U322" s="808"/>
      <c r="V322" s="808"/>
      <c r="W322" s="808"/>
      <c r="X322" s="808"/>
      <c r="Y322" s="808"/>
      <c r="Z322" s="808"/>
      <c r="AA322" s="808"/>
      <c r="AB322" s="808"/>
      <c r="AC322" s="808"/>
      <c r="AD322" s="808"/>
      <c r="AE322" s="808"/>
      <c r="AF322" s="808"/>
      <c r="AG322" s="808"/>
      <c r="AH322" s="808"/>
      <c r="AI322" s="808"/>
      <c r="AJ322" s="808"/>
      <c r="AK322" s="808"/>
      <c r="AL322" s="808"/>
      <c r="AM322" s="808"/>
      <c r="AN322" s="808"/>
      <c r="AO322" s="808"/>
      <c r="AP322" s="808"/>
      <c r="AQ322" s="808"/>
      <c r="AR322" s="808"/>
      <c r="AS322" s="808"/>
      <c r="AT322" s="808"/>
      <c r="AU322" s="808"/>
      <c r="AV322" s="808"/>
      <c r="AW322" s="808"/>
      <c r="AX322" s="808"/>
      <c r="AY322" s="808"/>
      <c r="AZ322" s="808"/>
      <c r="BA322" s="808"/>
      <c r="BB322" s="808"/>
      <c r="BC322" s="808"/>
      <c r="BD322" s="808"/>
      <c r="BE322" s="808"/>
      <c r="BF322" s="808"/>
      <c r="BG322" s="808"/>
      <c r="BH322" s="808"/>
      <c r="BI322" s="808"/>
      <c r="BJ322" s="808"/>
      <c r="BK322" s="808"/>
      <c r="BL322" s="808"/>
      <c r="BM322" s="808"/>
      <c r="BN322" s="808"/>
      <c r="BO322" s="808"/>
      <c r="BP322" s="808"/>
      <c r="BQ322" s="808"/>
      <c r="BR322" s="808"/>
      <c r="BS322" s="808"/>
      <c r="BT322" s="808"/>
      <c r="BU322" s="808"/>
      <c r="BV322" s="808"/>
      <c r="BW322" s="808"/>
      <c r="BX322" s="808"/>
      <c r="BY322" s="808"/>
      <c r="BZ322" s="808"/>
      <c r="CA322" s="808"/>
      <c r="CB322" s="808"/>
      <c r="CC322" s="808"/>
      <c r="CD322" s="808"/>
      <c r="CE322" s="808"/>
      <c r="CF322" s="808"/>
      <c r="CG322" s="808"/>
      <c r="CH322" s="808"/>
      <c r="CI322" s="808"/>
      <c r="CJ322" s="808"/>
      <c r="CK322" s="808"/>
      <c r="CL322" s="808"/>
      <c r="CM322" s="808"/>
      <c r="CN322" s="808"/>
      <c r="CO322" s="808"/>
      <c r="CP322" s="808"/>
      <c r="CQ322" s="808"/>
      <c r="CR322" s="808"/>
      <c r="CS322" s="808"/>
      <c r="CT322" s="808"/>
      <c r="CU322" s="808"/>
      <c r="CV322" s="808"/>
      <c r="CW322" s="808"/>
      <c r="CX322" s="808"/>
      <c r="CY322" s="808"/>
      <c r="CZ322" s="808"/>
      <c r="DA322" s="808"/>
      <c r="DB322" s="808"/>
      <c r="DC322" s="808"/>
      <c r="DD322" s="808"/>
      <c r="DE322" s="808"/>
      <c r="DF322" s="808"/>
      <c r="DG322" s="808"/>
      <c r="DH322" s="808"/>
      <c r="DI322" s="808"/>
      <c r="DJ322" s="808"/>
      <c r="DK322" s="808"/>
      <c r="DL322" s="808"/>
      <c r="DM322" s="808"/>
      <c r="DN322" s="808"/>
      <c r="DO322" s="808"/>
      <c r="DP322" s="808"/>
    </row>
    <row r="323" spans="1:120">
      <c r="A323" s="821"/>
      <c r="B323" s="811" t="s">
        <v>79</v>
      </c>
      <c r="C323" s="811" t="s">
        <v>5</v>
      </c>
      <c r="D323" s="812" t="s">
        <v>365</v>
      </c>
      <c r="E323" s="812" t="s">
        <v>365</v>
      </c>
      <c r="K323" s="808"/>
      <c r="M323" s="808"/>
      <c r="N323" s="808"/>
      <c r="O323" s="808"/>
      <c r="P323" s="808"/>
      <c r="Q323" s="808"/>
      <c r="R323" s="808"/>
      <c r="S323" s="808"/>
      <c r="T323" s="808"/>
      <c r="U323" s="808"/>
      <c r="V323" s="808"/>
      <c r="W323" s="808"/>
      <c r="X323" s="808"/>
      <c r="Y323" s="808"/>
      <c r="Z323" s="808"/>
      <c r="AA323" s="808"/>
      <c r="AB323" s="808"/>
      <c r="AC323" s="808"/>
      <c r="AD323" s="808"/>
      <c r="AE323" s="808"/>
      <c r="AF323" s="808"/>
      <c r="AG323" s="808"/>
      <c r="AH323" s="808"/>
      <c r="AI323" s="808"/>
      <c r="AJ323" s="808"/>
      <c r="AK323" s="808"/>
      <c r="AL323" s="808"/>
      <c r="AM323" s="808"/>
      <c r="AN323" s="808"/>
      <c r="AO323" s="808"/>
      <c r="AP323" s="808"/>
      <c r="AQ323" s="808"/>
      <c r="AR323" s="808"/>
      <c r="AS323" s="808"/>
      <c r="AT323" s="808"/>
      <c r="AU323" s="808"/>
      <c r="AV323" s="808"/>
      <c r="AW323" s="808"/>
      <c r="AX323" s="808"/>
      <c r="AY323" s="808"/>
      <c r="AZ323" s="808"/>
      <c r="BA323" s="808"/>
      <c r="BB323" s="808"/>
      <c r="BC323" s="808"/>
      <c r="BD323" s="808"/>
      <c r="BE323" s="808"/>
      <c r="BF323" s="808"/>
      <c r="BG323" s="808"/>
      <c r="BH323" s="808"/>
      <c r="BI323" s="808"/>
      <c r="BJ323" s="808"/>
      <c r="BK323" s="808"/>
      <c r="BL323" s="808"/>
      <c r="BM323" s="808"/>
      <c r="BN323" s="808"/>
      <c r="BO323" s="808"/>
      <c r="BP323" s="808"/>
      <c r="BQ323" s="808"/>
      <c r="BR323" s="808"/>
      <c r="BS323" s="808"/>
      <c r="BT323" s="808"/>
      <c r="BU323" s="808"/>
      <c r="BV323" s="808"/>
      <c r="BW323" s="808"/>
      <c r="BX323" s="808"/>
      <c r="BY323" s="808"/>
      <c r="BZ323" s="808"/>
      <c r="CA323" s="808"/>
      <c r="CB323" s="808"/>
      <c r="CC323" s="808"/>
      <c r="CD323" s="808"/>
      <c r="CE323" s="808"/>
      <c r="CF323" s="808"/>
      <c r="CG323" s="808"/>
      <c r="CH323" s="808"/>
      <c r="CI323" s="808"/>
      <c r="CJ323" s="808"/>
      <c r="CK323" s="808"/>
      <c r="CL323" s="808"/>
      <c r="CM323" s="808"/>
      <c r="CN323" s="808"/>
      <c r="CO323" s="808"/>
      <c r="CP323" s="808"/>
      <c r="CQ323" s="808"/>
      <c r="CR323" s="808"/>
      <c r="CS323" s="808"/>
      <c r="CT323" s="808"/>
      <c r="CU323" s="808"/>
      <c r="CV323" s="808"/>
      <c r="CW323" s="808"/>
      <c r="CX323" s="808"/>
      <c r="CY323" s="808"/>
      <c r="CZ323" s="808"/>
      <c r="DA323" s="808"/>
      <c r="DB323" s="808"/>
      <c r="DC323" s="808"/>
      <c r="DD323" s="808"/>
      <c r="DE323" s="808"/>
      <c r="DF323" s="808"/>
      <c r="DG323" s="808"/>
      <c r="DH323" s="808"/>
      <c r="DI323" s="808"/>
      <c r="DJ323" s="808"/>
      <c r="DK323" s="808"/>
      <c r="DL323" s="808"/>
      <c r="DM323" s="808"/>
      <c r="DN323" s="808"/>
      <c r="DO323" s="808"/>
      <c r="DP323" s="808"/>
    </row>
    <row r="324" spans="1:120">
      <c r="A324" s="821"/>
      <c r="B324" s="813" t="s">
        <v>947</v>
      </c>
      <c r="C324" s="814" t="s">
        <v>1356</v>
      </c>
      <c r="D324" s="815">
        <v>7868.8</v>
      </c>
      <c r="E324" s="815">
        <f>5938000/1000</f>
        <v>5938</v>
      </c>
      <c r="K324" s="808"/>
      <c r="M324" s="808"/>
      <c r="N324" s="808"/>
      <c r="O324" s="808"/>
      <c r="P324" s="808"/>
      <c r="Q324" s="808"/>
      <c r="R324" s="808"/>
      <c r="S324" s="808"/>
      <c r="T324" s="808"/>
      <c r="U324" s="808"/>
      <c r="V324" s="808"/>
      <c r="W324" s="808"/>
      <c r="X324" s="808"/>
      <c r="Y324" s="808"/>
      <c r="Z324" s="808"/>
      <c r="AA324" s="808"/>
      <c r="AB324" s="808"/>
      <c r="AC324" s="808"/>
      <c r="AD324" s="808"/>
      <c r="AE324" s="808"/>
      <c r="AF324" s="808"/>
      <c r="AG324" s="808"/>
      <c r="AH324" s="808"/>
      <c r="AI324" s="808"/>
      <c r="AJ324" s="808"/>
      <c r="AK324" s="808"/>
      <c r="AL324" s="808"/>
      <c r="AM324" s="808"/>
      <c r="AN324" s="808"/>
      <c r="AO324" s="808"/>
      <c r="AP324" s="808"/>
      <c r="AQ324" s="808"/>
      <c r="AR324" s="808"/>
      <c r="AS324" s="808"/>
      <c r="AT324" s="808"/>
      <c r="AU324" s="808"/>
      <c r="AV324" s="808"/>
      <c r="AW324" s="808"/>
      <c r="AX324" s="808"/>
      <c r="AY324" s="808"/>
      <c r="AZ324" s="808"/>
      <c r="BA324" s="808"/>
      <c r="BB324" s="808"/>
      <c r="BC324" s="808"/>
      <c r="BD324" s="808"/>
      <c r="BE324" s="808"/>
      <c r="BF324" s="808"/>
      <c r="BG324" s="808"/>
      <c r="BH324" s="808"/>
      <c r="BI324" s="808"/>
      <c r="BJ324" s="808"/>
      <c r="BK324" s="808"/>
      <c r="BL324" s="808"/>
      <c r="BM324" s="808"/>
      <c r="BN324" s="808"/>
      <c r="BO324" s="808"/>
      <c r="BP324" s="808"/>
      <c r="BQ324" s="808"/>
      <c r="BR324" s="808"/>
      <c r="BS324" s="808"/>
      <c r="BT324" s="808"/>
      <c r="BU324" s="808"/>
      <c r="BV324" s="808"/>
      <c r="BW324" s="808"/>
      <c r="BX324" s="808"/>
      <c r="BY324" s="808"/>
      <c r="BZ324" s="808"/>
      <c r="CA324" s="808"/>
      <c r="CB324" s="808"/>
      <c r="CC324" s="808"/>
      <c r="CD324" s="808"/>
      <c r="CE324" s="808"/>
      <c r="CF324" s="808"/>
      <c r="CG324" s="808"/>
      <c r="CH324" s="808"/>
      <c r="CI324" s="808"/>
      <c r="CJ324" s="808"/>
      <c r="CK324" s="808"/>
      <c r="CL324" s="808"/>
      <c r="CM324" s="808"/>
      <c r="CN324" s="808"/>
      <c r="CO324" s="808"/>
      <c r="CP324" s="808"/>
      <c r="CQ324" s="808"/>
      <c r="CR324" s="808"/>
      <c r="CS324" s="808"/>
      <c r="CT324" s="808"/>
      <c r="CU324" s="808"/>
      <c r="CV324" s="808"/>
      <c r="CW324" s="808"/>
      <c r="CX324" s="808"/>
      <c r="CY324" s="808"/>
      <c r="CZ324" s="808"/>
      <c r="DA324" s="808"/>
      <c r="DB324" s="808"/>
      <c r="DC324" s="808"/>
      <c r="DD324" s="808"/>
      <c r="DE324" s="808"/>
      <c r="DF324" s="808"/>
      <c r="DG324" s="808"/>
      <c r="DH324" s="808"/>
      <c r="DI324" s="808"/>
      <c r="DJ324" s="808"/>
      <c r="DK324" s="808"/>
      <c r="DL324" s="808"/>
      <c r="DM324" s="808"/>
      <c r="DN324" s="808"/>
      <c r="DO324" s="808"/>
      <c r="DP324" s="808"/>
    </row>
    <row r="325" spans="1:120">
      <c r="A325" s="821"/>
      <c r="B325" s="813" t="s">
        <v>950</v>
      </c>
      <c r="C325" s="814" t="s">
        <v>1357</v>
      </c>
      <c r="D325" s="815">
        <v>4176.3</v>
      </c>
      <c r="E325" s="815">
        <v>0</v>
      </c>
      <c r="K325" s="808"/>
      <c r="M325" s="808"/>
      <c r="N325" s="808"/>
      <c r="O325" s="808"/>
      <c r="P325" s="808"/>
      <c r="Q325" s="808"/>
      <c r="R325" s="808"/>
      <c r="S325" s="808"/>
      <c r="T325" s="808"/>
      <c r="U325" s="808"/>
      <c r="V325" s="808"/>
      <c r="W325" s="808"/>
      <c r="X325" s="808"/>
      <c r="Y325" s="808"/>
      <c r="Z325" s="808"/>
      <c r="AA325" s="808"/>
      <c r="AB325" s="808"/>
      <c r="AC325" s="808"/>
      <c r="AD325" s="808"/>
      <c r="AE325" s="808"/>
      <c r="AF325" s="808"/>
      <c r="AG325" s="808"/>
      <c r="AH325" s="808"/>
      <c r="AI325" s="808"/>
      <c r="AJ325" s="808"/>
      <c r="AK325" s="808"/>
      <c r="AL325" s="808"/>
      <c r="AM325" s="808"/>
      <c r="AN325" s="808"/>
      <c r="AO325" s="808"/>
      <c r="AP325" s="808"/>
      <c r="AQ325" s="808"/>
      <c r="AR325" s="808"/>
      <c r="AS325" s="808"/>
      <c r="AT325" s="808"/>
      <c r="AU325" s="808"/>
      <c r="AV325" s="808"/>
      <c r="AW325" s="808"/>
      <c r="AX325" s="808"/>
      <c r="AY325" s="808"/>
      <c r="AZ325" s="808"/>
      <c r="BA325" s="808"/>
      <c r="BB325" s="808"/>
      <c r="BC325" s="808"/>
      <c r="BD325" s="808"/>
      <c r="BE325" s="808"/>
      <c r="BF325" s="808"/>
      <c r="BG325" s="808"/>
      <c r="BH325" s="808"/>
      <c r="BI325" s="808"/>
      <c r="BJ325" s="808"/>
      <c r="BK325" s="808"/>
      <c r="BL325" s="808"/>
      <c r="BM325" s="808"/>
      <c r="BN325" s="808"/>
      <c r="BO325" s="808"/>
      <c r="BP325" s="808"/>
      <c r="BQ325" s="808"/>
      <c r="BR325" s="808"/>
      <c r="BS325" s="808"/>
      <c r="BT325" s="808"/>
      <c r="BU325" s="808"/>
      <c r="BV325" s="808"/>
      <c r="BW325" s="808"/>
      <c r="BX325" s="808"/>
      <c r="BY325" s="808"/>
      <c r="BZ325" s="808"/>
      <c r="CA325" s="808"/>
      <c r="CB325" s="808"/>
      <c r="CC325" s="808"/>
      <c r="CD325" s="808"/>
      <c r="CE325" s="808"/>
      <c r="CF325" s="808"/>
      <c r="CG325" s="808"/>
      <c r="CH325" s="808"/>
      <c r="CI325" s="808"/>
      <c r="CJ325" s="808"/>
      <c r="CK325" s="808"/>
      <c r="CL325" s="808"/>
      <c r="CM325" s="808"/>
      <c r="CN325" s="808"/>
      <c r="CO325" s="808"/>
      <c r="CP325" s="808"/>
      <c r="CQ325" s="808"/>
      <c r="CR325" s="808"/>
      <c r="CS325" s="808"/>
      <c r="CT325" s="808"/>
      <c r="CU325" s="808"/>
      <c r="CV325" s="808"/>
      <c r="CW325" s="808"/>
      <c r="CX325" s="808"/>
      <c r="CY325" s="808"/>
      <c r="CZ325" s="808"/>
      <c r="DA325" s="808"/>
      <c r="DB325" s="808"/>
      <c r="DC325" s="808"/>
      <c r="DD325" s="808"/>
      <c r="DE325" s="808"/>
      <c r="DF325" s="808"/>
      <c r="DG325" s="808"/>
      <c r="DH325" s="808"/>
      <c r="DI325" s="808"/>
      <c r="DJ325" s="808"/>
      <c r="DK325" s="808"/>
      <c r="DL325" s="808"/>
      <c r="DM325" s="808"/>
      <c r="DN325" s="808"/>
      <c r="DO325" s="808"/>
      <c r="DP325" s="808"/>
    </row>
    <row r="326" spans="1:120">
      <c r="A326" s="821"/>
      <c r="B326" s="813" t="s">
        <v>961</v>
      </c>
      <c r="C326" s="814" t="s">
        <v>417</v>
      </c>
      <c r="D326" s="815">
        <v>0</v>
      </c>
      <c r="E326" s="815">
        <v>0</v>
      </c>
      <c r="K326" s="808"/>
      <c r="M326" s="808"/>
      <c r="N326" s="808"/>
      <c r="O326" s="808"/>
      <c r="P326" s="808"/>
      <c r="Q326" s="808"/>
      <c r="R326" s="808"/>
      <c r="S326" s="808"/>
      <c r="T326" s="808"/>
      <c r="U326" s="808"/>
      <c r="V326" s="808"/>
      <c r="W326" s="808"/>
      <c r="X326" s="808"/>
      <c r="Y326" s="808"/>
      <c r="Z326" s="808"/>
      <c r="AA326" s="808"/>
      <c r="AB326" s="808"/>
      <c r="AC326" s="808"/>
      <c r="AD326" s="808"/>
      <c r="AE326" s="808"/>
      <c r="AF326" s="808"/>
      <c r="AG326" s="808"/>
      <c r="AH326" s="808"/>
      <c r="AI326" s="808"/>
      <c r="AJ326" s="808"/>
      <c r="AK326" s="808"/>
      <c r="AL326" s="808"/>
      <c r="AM326" s="808"/>
      <c r="AN326" s="808"/>
      <c r="AO326" s="808"/>
      <c r="AP326" s="808"/>
      <c r="AQ326" s="808"/>
      <c r="AR326" s="808"/>
      <c r="AS326" s="808"/>
      <c r="AT326" s="808"/>
      <c r="AU326" s="808"/>
      <c r="AV326" s="808"/>
      <c r="AW326" s="808"/>
      <c r="AX326" s="808"/>
      <c r="AY326" s="808"/>
      <c r="AZ326" s="808"/>
      <c r="BA326" s="808"/>
      <c r="BB326" s="808"/>
      <c r="BC326" s="808"/>
      <c r="BD326" s="808"/>
      <c r="BE326" s="808"/>
      <c r="BF326" s="808"/>
      <c r="BG326" s="808"/>
      <c r="BH326" s="808"/>
      <c r="BI326" s="808"/>
      <c r="BJ326" s="808"/>
      <c r="BK326" s="808"/>
      <c r="BL326" s="808"/>
      <c r="BM326" s="808"/>
      <c r="BN326" s="808"/>
      <c r="BO326" s="808"/>
      <c r="BP326" s="808"/>
      <c r="BQ326" s="808"/>
      <c r="BR326" s="808"/>
      <c r="BS326" s="808"/>
      <c r="BT326" s="808"/>
      <c r="BU326" s="808"/>
      <c r="BV326" s="808"/>
      <c r="BW326" s="808"/>
      <c r="BX326" s="808"/>
      <c r="BY326" s="808"/>
      <c r="BZ326" s="808"/>
      <c r="CA326" s="808"/>
      <c r="CB326" s="808"/>
      <c r="CC326" s="808"/>
      <c r="CD326" s="808"/>
      <c r="CE326" s="808"/>
      <c r="CF326" s="808"/>
      <c r="CG326" s="808"/>
      <c r="CH326" s="808"/>
      <c r="CI326" s="808"/>
      <c r="CJ326" s="808"/>
      <c r="CK326" s="808"/>
      <c r="CL326" s="808"/>
      <c r="CM326" s="808"/>
      <c r="CN326" s="808"/>
      <c r="CO326" s="808"/>
      <c r="CP326" s="808"/>
      <c r="CQ326" s="808"/>
      <c r="CR326" s="808"/>
      <c r="CS326" s="808"/>
      <c r="CT326" s="808"/>
      <c r="CU326" s="808"/>
      <c r="CV326" s="808"/>
      <c r="CW326" s="808"/>
      <c r="CX326" s="808"/>
      <c r="CY326" s="808"/>
      <c r="CZ326" s="808"/>
      <c r="DA326" s="808"/>
      <c r="DB326" s="808"/>
      <c r="DC326" s="808"/>
      <c r="DD326" s="808"/>
      <c r="DE326" s="808"/>
      <c r="DF326" s="808"/>
      <c r="DG326" s="808"/>
      <c r="DH326" s="808"/>
      <c r="DI326" s="808"/>
      <c r="DJ326" s="808"/>
      <c r="DK326" s="808"/>
      <c r="DL326" s="808"/>
      <c r="DM326" s="808"/>
      <c r="DN326" s="808"/>
      <c r="DO326" s="808"/>
      <c r="DP326" s="808"/>
    </row>
    <row r="327" spans="1:120">
      <c r="A327" s="821"/>
      <c r="B327" s="813" t="s">
        <v>962</v>
      </c>
      <c r="C327" s="814" t="s">
        <v>231</v>
      </c>
      <c r="D327" s="815">
        <v>736096.1</v>
      </c>
      <c r="E327" s="815">
        <v>1265746.55</v>
      </c>
      <c r="K327" s="808"/>
      <c r="M327" s="808"/>
      <c r="N327" s="808"/>
      <c r="O327" s="808"/>
      <c r="P327" s="808"/>
      <c r="Q327" s="808"/>
      <c r="R327" s="808"/>
      <c r="S327" s="808"/>
      <c r="T327" s="808"/>
      <c r="U327" s="808"/>
      <c r="V327" s="808"/>
      <c r="W327" s="808"/>
      <c r="X327" s="808"/>
      <c r="Y327" s="808"/>
      <c r="Z327" s="808"/>
      <c r="AA327" s="808"/>
      <c r="AB327" s="808"/>
      <c r="AC327" s="808"/>
      <c r="AD327" s="808"/>
      <c r="AE327" s="808"/>
      <c r="AF327" s="808"/>
      <c r="AG327" s="808"/>
      <c r="AH327" s="808"/>
      <c r="AI327" s="808"/>
      <c r="AJ327" s="808"/>
      <c r="AK327" s="808"/>
      <c r="AL327" s="808"/>
      <c r="AM327" s="808"/>
      <c r="AN327" s="808"/>
      <c r="AO327" s="808"/>
      <c r="AP327" s="808"/>
      <c r="AQ327" s="808"/>
      <c r="AR327" s="808"/>
      <c r="AS327" s="808"/>
      <c r="AT327" s="808"/>
      <c r="AU327" s="808"/>
      <c r="AV327" s="808"/>
      <c r="AW327" s="808"/>
      <c r="AX327" s="808"/>
      <c r="AY327" s="808"/>
      <c r="AZ327" s="808"/>
      <c r="BA327" s="808"/>
      <c r="BB327" s="808"/>
      <c r="BC327" s="808"/>
      <c r="BD327" s="808"/>
      <c r="BE327" s="808"/>
      <c r="BF327" s="808"/>
      <c r="BG327" s="808"/>
      <c r="BH327" s="808"/>
      <c r="BI327" s="808"/>
      <c r="BJ327" s="808"/>
      <c r="BK327" s="808"/>
      <c r="BL327" s="808"/>
      <c r="BM327" s="808"/>
      <c r="BN327" s="808"/>
      <c r="BO327" s="808"/>
      <c r="BP327" s="808"/>
      <c r="BQ327" s="808"/>
      <c r="BR327" s="808"/>
      <c r="BS327" s="808"/>
      <c r="BT327" s="808"/>
      <c r="BU327" s="808"/>
      <c r="BV327" s="808"/>
      <c r="BW327" s="808"/>
      <c r="BX327" s="808"/>
      <c r="BY327" s="808"/>
      <c r="BZ327" s="808"/>
      <c r="CA327" s="808"/>
      <c r="CB327" s="808"/>
      <c r="CC327" s="808"/>
      <c r="CD327" s="808"/>
      <c r="CE327" s="808"/>
      <c r="CF327" s="808"/>
      <c r="CG327" s="808"/>
      <c r="CH327" s="808"/>
      <c r="CI327" s="808"/>
      <c r="CJ327" s="808"/>
      <c r="CK327" s="808"/>
      <c r="CL327" s="808"/>
      <c r="CM327" s="808"/>
      <c r="CN327" s="808"/>
      <c r="CO327" s="808"/>
      <c r="CP327" s="808"/>
      <c r="CQ327" s="808"/>
      <c r="CR327" s="808"/>
      <c r="CS327" s="808"/>
      <c r="CT327" s="808"/>
      <c r="CU327" s="808"/>
      <c r="CV327" s="808"/>
      <c r="CW327" s="808"/>
      <c r="CX327" s="808"/>
      <c r="CY327" s="808"/>
      <c r="CZ327" s="808"/>
      <c r="DA327" s="808"/>
      <c r="DB327" s="808"/>
      <c r="DC327" s="808"/>
      <c r="DD327" s="808"/>
      <c r="DE327" s="808"/>
      <c r="DF327" s="808"/>
      <c r="DG327" s="808"/>
      <c r="DH327" s="808"/>
      <c r="DI327" s="808"/>
      <c r="DJ327" s="808"/>
      <c r="DK327" s="808"/>
      <c r="DL327" s="808"/>
      <c r="DM327" s="808"/>
      <c r="DN327" s="808"/>
      <c r="DO327" s="808"/>
      <c r="DP327" s="808"/>
    </row>
    <row r="328" spans="1:120">
      <c r="A328" s="821"/>
      <c r="B328" s="813" t="s">
        <v>963</v>
      </c>
      <c r="C328" s="816" t="s">
        <v>82</v>
      </c>
      <c r="D328" s="815">
        <f>SUM(D324:D327)</f>
        <v>748141.2</v>
      </c>
      <c r="E328" s="815">
        <f>SUM(E324:E327)</f>
        <v>1271684.55</v>
      </c>
      <c r="K328" s="808"/>
      <c r="M328" s="808"/>
      <c r="N328" s="808"/>
      <c r="O328" s="808"/>
      <c r="P328" s="808"/>
      <c r="Q328" s="808"/>
      <c r="R328" s="808"/>
      <c r="S328" s="808"/>
      <c r="T328" s="808"/>
      <c r="U328" s="808"/>
      <c r="V328" s="808"/>
      <c r="W328" s="808"/>
      <c r="X328" s="808"/>
      <c r="Y328" s="808"/>
      <c r="Z328" s="808"/>
      <c r="AA328" s="808"/>
      <c r="AB328" s="808"/>
      <c r="AC328" s="808"/>
      <c r="AD328" s="808"/>
      <c r="AE328" s="808"/>
      <c r="AF328" s="808"/>
      <c r="AG328" s="808"/>
      <c r="AH328" s="808"/>
      <c r="AI328" s="808"/>
      <c r="AJ328" s="808"/>
      <c r="AK328" s="808"/>
      <c r="AL328" s="808"/>
      <c r="AM328" s="808"/>
      <c r="AN328" s="808"/>
      <c r="AO328" s="808"/>
      <c r="AP328" s="808"/>
      <c r="AQ328" s="808"/>
      <c r="AR328" s="808"/>
      <c r="AS328" s="808"/>
      <c r="AT328" s="808"/>
      <c r="AU328" s="808"/>
      <c r="AV328" s="808"/>
      <c r="AW328" s="808"/>
      <c r="AX328" s="808"/>
      <c r="AY328" s="808"/>
      <c r="AZ328" s="808"/>
      <c r="BA328" s="808"/>
      <c r="BB328" s="808"/>
      <c r="BC328" s="808"/>
      <c r="BD328" s="808"/>
      <c r="BE328" s="808"/>
      <c r="BF328" s="808"/>
      <c r="BG328" s="808"/>
      <c r="BH328" s="808"/>
      <c r="BI328" s="808"/>
      <c r="BJ328" s="808"/>
      <c r="BK328" s="808"/>
      <c r="BL328" s="808"/>
      <c r="BM328" s="808"/>
      <c r="BN328" s="808"/>
      <c r="BO328" s="808"/>
      <c r="BP328" s="808"/>
      <c r="BQ328" s="808"/>
      <c r="BR328" s="808"/>
      <c r="BS328" s="808"/>
      <c r="BT328" s="808"/>
      <c r="BU328" s="808"/>
      <c r="BV328" s="808"/>
      <c r="BW328" s="808"/>
      <c r="BX328" s="808"/>
      <c r="BY328" s="808"/>
      <c r="BZ328" s="808"/>
      <c r="CA328" s="808"/>
      <c r="CB328" s="808"/>
      <c r="CC328" s="808"/>
      <c r="CD328" s="808"/>
      <c r="CE328" s="808"/>
      <c r="CF328" s="808"/>
      <c r="CG328" s="808"/>
      <c r="CH328" s="808"/>
      <c r="CI328" s="808"/>
      <c r="CJ328" s="808"/>
      <c r="CK328" s="808"/>
      <c r="CL328" s="808"/>
      <c r="CM328" s="808"/>
      <c r="CN328" s="808"/>
      <c r="CO328" s="808"/>
      <c r="CP328" s="808"/>
      <c r="CQ328" s="808"/>
      <c r="CR328" s="808"/>
      <c r="CS328" s="808"/>
      <c r="CT328" s="808"/>
      <c r="CU328" s="808"/>
      <c r="CV328" s="808"/>
      <c r="CW328" s="808"/>
      <c r="CX328" s="808"/>
      <c r="CY328" s="808"/>
      <c r="CZ328" s="808"/>
      <c r="DA328" s="808"/>
      <c r="DB328" s="808"/>
      <c r="DC328" s="808"/>
      <c r="DD328" s="808"/>
      <c r="DE328" s="808"/>
      <c r="DF328" s="808"/>
      <c r="DG328" s="808"/>
      <c r="DH328" s="808"/>
      <c r="DI328" s="808"/>
      <c r="DJ328" s="808"/>
      <c r="DK328" s="808"/>
      <c r="DL328" s="808"/>
      <c r="DM328" s="808"/>
      <c r="DN328" s="808"/>
      <c r="DO328" s="808"/>
      <c r="DP328" s="808"/>
    </row>
    <row r="329" spans="1:120">
      <c r="A329" s="821" t="s">
        <v>1201</v>
      </c>
      <c r="B329" s="807" t="s">
        <v>1201</v>
      </c>
      <c r="C329" s="808" t="s">
        <v>1201</v>
      </c>
      <c r="D329" s="845">
        <f>+D328-income!C18/1000</f>
        <v>146776.10225750005</v>
      </c>
      <c r="E329" s="845" t="e">
        <f>+E328-#REF!/1000</f>
        <v>#REF!</v>
      </c>
      <c r="K329" s="808"/>
      <c r="M329" s="808"/>
      <c r="N329" s="808"/>
      <c r="O329" s="808"/>
      <c r="P329" s="808"/>
      <c r="Q329" s="808"/>
      <c r="R329" s="808"/>
      <c r="S329" s="808"/>
      <c r="T329" s="808"/>
      <c r="U329" s="808"/>
      <c r="V329" s="808"/>
      <c r="W329" s="808"/>
      <c r="X329" s="808"/>
      <c r="Y329" s="808"/>
      <c r="Z329" s="808"/>
      <c r="AA329" s="808"/>
      <c r="AB329" s="808"/>
      <c r="AC329" s="808"/>
      <c r="AD329" s="808"/>
      <c r="AE329" s="808"/>
      <c r="AF329" s="808"/>
      <c r="AG329" s="808"/>
      <c r="AH329" s="808"/>
      <c r="AI329" s="808"/>
      <c r="AJ329" s="808"/>
      <c r="AK329" s="808"/>
      <c r="AL329" s="808"/>
      <c r="AM329" s="808"/>
      <c r="AN329" s="808"/>
      <c r="AO329" s="808"/>
      <c r="AP329" s="808"/>
      <c r="AQ329" s="808"/>
      <c r="AR329" s="808"/>
      <c r="AS329" s="808"/>
      <c r="AT329" s="808"/>
      <c r="AU329" s="808"/>
      <c r="AV329" s="808"/>
      <c r="AW329" s="808"/>
      <c r="AX329" s="808"/>
      <c r="AY329" s="808"/>
      <c r="AZ329" s="808"/>
      <c r="BA329" s="808"/>
      <c r="BB329" s="808"/>
      <c r="BC329" s="808"/>
      <c r="BD329" s="808"/>
      <c r="BE329" s="808"/>
      <c r="BF329" s="808"/>
      <c r="BG329" s="808"/>
      <c r="BH329" s="808"/>
      <c r="BI329" s="808"/>
      <c r="BJ329" s="808"/>
      <c r="BK329" s="808"/>
      <c r="BL329" s="808"/>
      <c r="BM329" s="808"/>
      <c r="BN329" s="808"/>
      <c r="BO329" s="808"/>
      <c r="BP329" s="984"/>
      <c r="BQ329" s="984"/>
      <c r="BR329" s="984"/>
      <c r="BS329" s="984"/>
      <c r="BT329" s="984"/>
      <c r="BU329" s="984"/>
      <c r="BV329" s="984"/>
      <c r="BW329" s="984"/>
      <c r="BX329" s="984"/>
      <c r="BY329" s="984"/>
      <c r="BZ329" s="984"/>
      <c r="CA329" s="984"/>
      <c r="CB329" s="984"/>
      <c r="CC329" s="984"/>
      <c r="CD329" s="984"/>
      <c r="CE329" s="984"/>
      <c r="CF329" s="984"/>
      <c r="CG329" s="984"/>
      <c r="CH329" s="984"/>
      <c r="CI329" s="984"/>
      <c r="CJ329" s="984"/>
      <c r="CK329" s="984"/>
      <c r="CL329" s="984"/>
      <c r="CM329" s="984"/>
      <c r="CN329" s="984"/>
      <c r="CO329" s="984"/>
      <c r="CP329" s="984"/>
      <c r="CQ329" s="984"/>
      <c r="CR329" s="984"/>
      <c r="CS329" s="984"/>
      <c r="CT329" s="984"/>
      <c r="CU329" s="984"/>
      <c r="CV329" s="984"/>
      <c r="CW329" s="984"/>
      <c r="CX329" s="984"/>
      <c r="CY329" s="984"/>
      <c r="CZ329" s="984"/>
      <c r="DA329" s="984"/>
      <c r="DB329" s="984"/>
      <c r="DC329" s="984"/>
      <c r="DD329" s="984"/>
      <c r="DE329" s="984"/>
      <c r="DF329" s="984"/>
      <c r="DG329" s="984"/>
      <c r="DH329" s="984"/>
      <c r="DI329" s="984"/>
      <c r="DJ329" s="984"/>
      <c r="DK329" s="984"/>
      <c r="DL329" s="984"/>
      <c r="DM329" s="984"/>
      <c r="DN329" s="984"/>
      <c r="DO329" s="984"/>
      <c r="DP329" s="984"/>
    </row>
    <row r="330" spans="1:120">
      <c r="A330" s="821"/>
      <c r="B330" s="809" t="s">
        <v>1358</v>
      </c>
      <c r="C330" s="808"/>
      <c r="D330" s="845"/>
      <c r="E330" s="845"/>
      <c r="K330" s="808"/>
      <c r="M330" s="808"/>
      <c r="N330" s="808"/>
      <c r="O330" s="808"/>
      <c r="P330" s="808"/>
      <c r="Q330" s="808"/>
      <c r="R330" s="808"/>
      <c r="S330" s="808"/>
      <c r="T330" s="808"/>
      <c r="U330" s="808"/>
      <c r="V330" s="808"/>
      <c r="W330" s="808"/>
      <c r="X330" s="808"/>
      <c r="Y330" s="808"/>
      <c r="Z330" s="808"/>
      <c r="AA330" s="808"/>
      <c r="AB330" s="808"/>
      <c r="AC330" s="808"/>
      <c r="AD330" s="808"/>
      <c r="AE330" s="808"/>
      <c r="AF330" s="808"/>
      <c r="AG330" s="808"/>
      <c r="AH330" s="808"/>
      <c r="AI330" s="808"/>
      <c r="AJ330" s="808"/>
      <c r="AK330" s="808"/>
      <c r="AL330" s="808"/>
      <c r="AM330" s="808"/>
      <c r="AN330" s="808"/>
      <c r="AO330" s="808"/>
      <c r="AP330" s="808"/>
      <c r="AQ330" s="808"/>
      <c r="AR330" s="808"/>
      <c r="AS330" s="808"/>
      <c r="AT330" s="808"/>
      <c r="AU330" s="808"/>
      <c r="AV330" s="808"/>
      <c r="AW330" s="808"/>
      <c r="AX330" s="808"/>
      <c r="AY330" s="808"/>
      <c r="AZ330" s="808"/>
      <c r="BA330" s="808"/>
      <c r="BB330" s="808"/>
      <c r="BC330" s="808"/>
      <c r="BD330" s="808"/>
      <c r="BE330" s="808"/>
      <c r="BF330" s="808"/>
      <c r="BG330" s="808"/>
      <c r="BH330" s="808"/>
      <c r="BI330" s="808"/>
      <c r="BJ330" s="808"/>
      <c r="BK330" s="808"/>
      <c r="BL330" s="808"/>
      <c r="BM330" s="808"/>
      <c r="BN330" s="808"/>
      <c r="BO330" s="808"/>
      <c r="BP330" s="808"/>
      <c r="BQ330" s="808"/>
      <c r="BR330" s="808"/>
      <c r="BS330" s="808"/>
      <c r="BT330" s="808"/>
      <c r="BU330" s="808"/>
      <c r="BV330" s="808"/>
      <c r="BW330" s="808"/>
      <c r="BX330" s="808"/>
      <c r="BY330" s="808"/>
      <c r="BZ330" s="808"/>
      <c r="CA330" s="808"/>
      <c r="CB330" s="808"/>
      <c r="CC330" s="808"/>
      <c r="CD330" s="808"/>
      <c r="CE330" s="808"/>
      <c r="CF330" s="808"/>
      <c r="CG330" s="808"/>
      <c r="CH330" s="808"/>
      <c r="CI330" s="808"/>
      <c r="CJ330" s="808"/>
      <c r="CK330" s="808"/>
      <c r="CL330" s="808"/>
      <c r="CM330" s="808"/>
      <c r="CN330" s="808"/>
      <c r="CO330" s="808"/>
      <c r="CP330" s="808"/>
      <c r="CQ330" s="808"/>
      <c r="CR330" s="808"/>
      <c r="CS330" s="808"/>
      <c r="CT330" s="808"/>
      <c r="CU330" s="808"/>
      <c r="CV330" s="808"/>
      <c r="CW330" s="808"/>
      <c r="CX330" s="808"/>
      <c r="CY330" s="808"/>
      <c r="CZ330" s="808"/>
      <c r="DA330" s="808"/>
      <c r="DB330" s="808"/>
      <c r="DC330" s="808"/>
      <c r="DD330" s="808"/>
      <c r="DE330" s="808"/>
      <c r="DF330" s="808"/>
      <c r="DG330" s="808"/>
      <c r="DH330" s="808"/>
      <c r="DI330" s="808"/>
      <c r="DJ330" s="808"/>
      <c r="DK330" s="808"/>
      <c r="DL330" s="808"/>
      <c r="DM330" s="808"/>
      <c r="DN330" s="808"/>
      <c r="DO330" s="808"/>
      <c r="DP330" s="808"/>
    </row>
    <row r="331" spans="1:120">
      <c r="A331" s="821"/>
      <c r="B331" s="807"/>
      <c r="C331" s="808"/>
      <c r="F331" s="810" t="s">
        <v>1203</v>
      </c>
      <c r="K331" s="808"/>
      <c r="M331" s="808"/>
      <c r="N331" s="808"/>
      <c r="O331" s="808"/>
      <c r="P331" s="808"/>
      <c r="Q331" s="808"/>
      <c r="R331" s="808"/>
      <c r="S331" s="808"/>
      <c r="T331" s="808"/>
      <c r="U331" s="808"/>
      <c r="V331" s="808"/>
      <c r="W331" s="808"/>
      <c r="X331" s="808"/>
      <c r="Y331" s="808"/>
      <c r="Z331" s="808"/>
      <c r="AA331" s="808"/>
      <c r="AB331" s="808"/>
      <c r="AC331" s="808"/>
      <c r="AD331" s="808"/>
      <c r="AE331" s="808"/>
      <c r="AF331" s="808"/>
      <c r="AG331" s="808"/>
      <c r="AH331" s="808"/>
      <c r="AI331" s="808"/>
      <c r="AJ331" s="808"/>
      <c r="AK331" s="808"/>
      <c r="AL331" s="808"/>
      <c r="AM331" s="808"/>
      <c r="AN331" s="808"/>
      <c r="AO331" s="808"/>
      <c r="AP331" s="808"/>
      <c r="AQ331" s="808"/>
      <c r="AR331" s="808"/>
      <c r="AS331" s="808"/>
      <c r="AT331" s="808"/>
      <c r="AU331" s="808"/>
      <c r="AV331" s="808"/>
      <c r="AW331" s="808"/>
      <c r="AX331" s="808"/>
      <c r="AY331" s="808"/>
      <c r="AZ331" s="808"/>
      <c r="BA331" s="808"/>
      <c r="BB331" s="808"/>
      <c r="BC331" s="808"/>
      <c r="BD331" s="808"/>
      <c r="BE331" s="808"/>
      <c r="BF331" s="808"/>
      <c r="BG331" s="808"/>
      <c r="BH331" s="808"/>
      <c r="BI331" s="808"/>
      <c r="BJ331" s="808"/>
      <c r="BK331" s="808"/>
      <c r="BL331" s="808"/>
      <c r="BM331" s="808"/>
      <c r="BN331" s="808"/>
      <c r="BO331" s="808"/>
      <c r="BP331" s="808"/>
      <c r="BQ331" s="808"/>
      <c r="BR331" s="808"/>
      <c r="BS331" s="808"/>
      <c r="BT331" s="808"/>
      <c r="BU331" s="808"/>
      <c r="BV331" s="808"/>
      <c r="BW331" s="808"/>
      <c r="BX331" s="808"/>
      <c r="BY331" s="808"/>
      <c r="BZ331" s="808"/>
      <c r="CA331" s="808"/>
      <c r="CB331" s="808"/>
      <c r="CC331" s="808"/>
      <c r="CD331" s="808"/>
      <c r="CE331" s="808"/>
      <c r="CF331" s="808"/>
      <c r="CG331" s="808"/>
      <c r="CH331" s="808"/>
      <c r="CI331" s="808"/>
      <c r="CJ331" s="808"/>
      <c r="CK331" s="808"/>
      <c r="CL331" s="808"/>
      <c r="CM331" s="808"/>
      <c r="CN331" s="808"/>
      <c r="CO331" s="808"/>
      <c r="CP331" s="808"/>
      <c r="CQ331" s="808"/>
      <c r="CR331" s="808"/>
      <c r="CS331" s="808"/>
      <c r="CT331" s="808"/>
      <c r="CU331" s="808"/>
      <c r="CV331" s="808"/>
      <c r="CW331" s="808"/>
      <c r="CX331" s="808"/>
      <c r="CY331" s="808"/>
      <c r="CZ331" s="808"/>
      <c r="DA331" s="808"/>
      <c r="DB331" s="808"/>
      <c r="DC331" s="808"/>
      <c r="DD331" s="808"/>
      <c r="DE331" s="808"/>
      <c r="DF331" s="808"/>
      <c r="DG331" s="808"/>
      <c r="DH331" s="808"/>
      <c r="DI331" s="808"/>
      <c r="DJ331" s="808"/>
      <c r="DK331" s="808"/>
      <c r="DL331" s="808"/>
      <c r="DM331" s="808"/>
      <c r="DN331" s="808"/>
      <c r="DO331" s="808"/>
      <c r="DP331" s="808"/>
    </row>
    <row r="332" spans="1:120" ht="26.4">
      <c r="A332" s="821"/>
      <c r="B332" s="811" t="s">
        <v>79</v>
      </c>
      <c r="C332" s="811" t="s">
        <v>5</v>
      </c>
      <c r="D332" s="812" t="s">
        <v>420</v>
      </c>
      <c r="E332" s="812" t="s">
        <v>365</v>
      </c>
      <c r="F332" s="812" t="s">
        <v>365</v>
      </c>
      <c r="K332" s="808"/>
      <c r="M332" s="808"/>
      <c r="N332" s="808"/>
      <c r="O332" s="808"/>
      <c r="P332" s="808"/>
      <c r="Q332" s="808"/>
      <c r="R332" s="808"/>
      <c r="S332" s="808"/>
      <c r="T332" s="808"/>
      <c r="U332" s="808"/>
      <c r="V332" s="808"/>
      <c r="W332" s="808"/>
      <c r="X332" s="808"/>
      <c r="Y332" s="808"/>
      <c r="Z332" s="808"/>
      <c r="AA332" s="808"/>
      <c r="AB332" s="808"/>
      <c r="AC332" s="808"/>
      <c r="AD332" s="808"/>
      <c r="AE332" s="808"/>
      <c r="AF332" s="808"/>
      <c r="AG332" s="808"/>
      <c r="AH332" s="808"/>
      <c r="AI332" s="808"/>
      <c r="AJ332" s="808"/>
      <c r="AK332" s="808"/>
      <c r="AL332" s="808"/>
      <c r="AM332" s="808"/>
      <c r="AN332" s="808"/>
      <c r="AO332" s="808"/>
      <c r="AP332" s="808"/>
      <c r="AQ332" s="808"/>
      <c r="AR332" s="808"/>
      <c r="AS332" s="808"/>
      <c r="AT332" s="808"/>
      <c r="AU332" s="808"/>
      <c r="AV332" s="808"/>
      <c r="AW332" s="808"/>
      <c r="AX332" s="808"/>
      <c r="AY332" s="808"/>
      <c r="AZ332" s="808"/>
      <c r="BA332" s="808"/>
      <c r="BB332" s="808"/>
      <c r="BC332" s="808"/>
      <c r="BD332" s="808"/>
      <c r="BE332" s="808"/>
      <c r="BF332" s="808"/>
      <c r="BG332" s="808"/>
      <c r="BH332" s="808"/>
      <c r="BI332" s="808"/>
      <c r="BJ332" s="808"/>
      <c r="BK332" s="808"/>
      <c r="BL332" s="808"/>
      <c r="BM332" s="808"/>
      <c r="BN332" s="808"/>
      <c r="BO332" s="808"/>
      <c r="BP332" s="808"/>
      <c r="BQ332" s="808"/>
      <c r="BR332" s="808"/>
      <c r="BS332" s="808"/>
      <c r="BT332" s="808"/>
      <c r="BU332" s="808"/>
      <c r="BV332" s="808"/>
      <c r="BW332" s="808"/>
      <c r="BX332" s="808"/>
      <c r="BY332" s="808"/>
      <c r="BZ332" s="808"/>
      <c r="CA332" s="808"/>
      <c r="CB332" s="808"/>
      <c r="CC332" s="808"/>
      <c r="CD332" s="808"/>
      <c r="CE332" s="808"/>
      <c r="CF332" s="808"/>
      <c r="CG332" s="808"/>
      <c r="CH332" s="808"/>
      <c r="CI332" s="808"/>
      <c r="CJ332" s="808"/>
      <c r="CK332" s="808"/>
      <c r="CL332" s="808"/>
      <c r="CM332" s="808"/>
      <c r="CN332" s="808"/>
      <c r="CO332" s="808"/>
      <c r="CP332" s="808"/>
      <c r="CQ332" s="808"/>
      <c r="CR332" s="808"/>
      <c r="CS332" s="808"/>
      <c r="CT332" s="808"/>
      <c r="CU332" s="808"/>
      <c r="CV332" s="808"/>
      <c r="CW332" s="808"/>
      <c r="CX332" s="808"/>
      <c r="CY332" s="808"/>
      <c r="CZ332" s="808"/>
      <c r="DA332" s="808"/>
      <c r="DB332" s="808"/>
      <c r="DC332" s="808"/>
      <c r="DD332" s="808"/>
      <c r="DE332" s="808"/>
      <c r="DF332" s="808"/>
      <c r="DG332" s="808"/>
      <c r="DH332" s="808"/>
      <c r="DI332" s="808"/>
      <c r="DJ332" s="808"/>
      <c r="DK332" s="808"/>
      <c r="DL332" s="808"/>
      <c r="DM332" s="808"/>
      <c r="DN332" s="808"/>
      <c r="DO332" s="808"/>
      <c r="DP332" s="808"/>
    </row>
    <row r="333" spans="1:120">
      <c r="A333" s="821"/>
      <c r="B333" s="813" t="s">
        <v>1220</v>
      </c>
      <c r="C333" s="814" t="s">
        <v>1359</v>
      </c>
      <c r="D333" s="815">
        <v>0</v>
      </c>
      <c r="E333" s="815">
        <v>17062329.800000001</v>
      </c>
      <c r="F333" s="815">
        <v>22519539.052780002</v>
      </c>
      <c r="K333" s="808"/>
      <c r="M333" s="808"/>
      <c r="N333" s="808"/>
      <c r="O333" s="808"/>
      <c r="P333" s="808"/>
      <c r="Q333" s="808"/>
      <c r="R333" s="808"/>
      <c r="S333" s="808"/>
      <c r="T333" s="808"/>
      <c r="U333" s="808"/>
      <c r="V333" s="808"/>
      <c r="W333" s="808"/>
      <c r="X333" s="808"/>
      <c r="Y333" s="808"/>
      <c r="Z333" s="808"/>
      <c r="AA333" s="808"/>
      <c r="AB333" s="808"/>
      <c r="AC333" s="808"/>
      <c r="AD333" s="808"/>
      <c r="AE333" s="808"/>
      <c r="AF333" s="808"/>
      <c r="AG333" s="808"/>
      <c r="AH333" s="808"/>
      <c r="AI333" s="808"/>
      <c r="AJ333" s="808"/>
      <c r="AK333" s="808"/>
      <c r="AL333" s="808"/>
      <c r="AM333" s="808"/>
      <c r="AN333" s="808"/>
      <c r="AO333" s="808"/>
      <c r="AP333" s="808"/>
      <c r="AQ333" s="808"/>
      <c r="AR333" s="808"/>
      <c r="AS333" s="808"/>
      <c r="AT333" s="808"/>
      <c r="AU333" s="808"/>
      <c r="AV333" s="808"/>
      <c r="AW333" s="808"/>
      <c r="AX333" s="808"/>
      <c r="AY333" s="808"/>
      <c r="AZ333" s="808"/>
      <c r="BA333" s="808"/>
      <c r="BB333" s="808"/>
      <c r="BC333" s="808"/>
      <c r="BD333" s="808"/>
      <c r="BE333" s="808"/>
      <c r="BF333" s="808"/>
      <c r="BG333" s="808"/>
      <c r="BH333" s="808"/>
      <c r="BI333" s="808"/>
      <c r="BJ333" s="808"/>
      <c r="BK333" s="808"/>
      <c r="BL333" s="808"/>
      <c r="BM333" s="808"/>
      <c r="BN333" s="808"/>
      <c r="BO333" s="808"/>
      <c r="BP333" s="808"/>
      <c r="BQ333" s="808"/>
      <c r="BR333" s="808"/>
      <c r="BS333" s="808"/>
      <c r="BT333" s="808"/>
      <c r="BU333" s="808"/>
      <c r="BV333" s="808"/>
      <c r="BW333" s="808"/>
      <c r="BX333" s="808"/>
      <c r="BY333" s="808"/>
      <c r="BZ333" s="808"/>
      <c r="CA333" s="808"/>
      <c r="CB333" s="808"/>
      <c r="CC333" s="808"/>
      <c r="CD333" s="808"/>
      <c r="CE333" s="808"/>
      <c r="CF333" s="808"/>
      <c r="CG333" s="808"/>
      <c r="CH333" s="808"/>
      <c r="CI333" s="808"/>
      <c r="CJ333" s="808"/>
      <c r="CK333" s="808"/>
      <c r="CL333" s="808"/>
      <c r="CM333" s="808"/>
      <c r="CN333" s="808"/>
      <c r="CO333" s="808"/>
      <c r="CP333" s="808"/>
      <c r="CQ333" s="808"/>
      <c r="CR333" s="808"/>
      <c r="CS333" s="808"/>
      <c r="CT333" s="808"/>
      <c r="CU333" s="808"/>
      <c r="CV333" s="808"/>
      <c r="CW333" s="808"/>
      <c r="CX333" s="808"/>
      <c r="CY333" s="808"/>
      <c r="CZ333" s="808"/>
      <c r="DA333" s="808"/>
      <c r="DB333" s="808"/>
      <c r="DC333" s="808"/>
      <c r="DD333" s="808"/>
      <c r="DE333" s="808"/>
      <c r="DF333" s="808"/>
      <c r="DG333" s="808"/>
      <c r="DH333" s="808"/>
      <c r="DI333" s="808"/>
      <c r="DJ333" s="808"/>
      <c r="DK333" s="808"/>
      <c r="DL333" s="808"/>
      <c r="DM333" s="808"/>
      <c r="DN333" s="808"/>
      <c r="DO333" s="808"/>
      <c r="DP333" s="808"/>
    </row>
    <row r="334" spans="1:120">
      <c r="A334" s="821"/>
      <c r="B334" s="813" t="s">
        <v>1206</v>
      </c>
      <c r="C334" s="814" t="s">
        <v>1360</v>
      </c>
      <c r="D334" s="815">
        <v>0</v>
      </c>
      <c r="E334" s="815">
        <v>2777097.7</v>
      </c>
      <c r="F334" s="815">
        <f>4966379464.66/1000</f>
        <v>4966379.4646600001</v>
      </c>
      <c r="K334" s="808"/>
      <c r="M334" s="808"/>
      <c r="N334" s="808"/>
      <c r="O334" s="808"/>
      <c r="P334" s="808"/>
      <c r="Q334" s="808"/>
      <c r="R334" s="808"/>
      <c r="S334" s="808"/>
      <c r="T334" s="808"/>
      <c r="U334" s="808"/>
      <c r="V334" s="808"/>
      <c r="W334" s="808"/>
      <c r="X334" s="808"/>
      <c r="Y334" s="808"/>
      <c r="Z334" s="808"/>
      <c r="AA334" s="808"/>
      <c r="AB334" s="808"/>
      <c r="AC334" s="808"/>
      <c r="AD334" s="808"/>
      <c r="AE334" s="808"/>
      <c r="AF334" s="808"/>
      <c r="AG334" s="808"/>
      <c r="AH334" s="808"/>
      <c r="AI334" s="808"/>
      <c r="AJ334" s="808"/>
      <c r="AK334" s="808"/>
      <c r="AL334" s="808"/>
      <c r="AM334" s="808"/>
      <c r="AN334" s="808"/>
      <c r="AO334" s="808"/>
      <c r="AP334" s="808"/>
      <c r="AQ334" s="808"/>
      <c r="AR334" s="808"/>
      <c r="AS334" s="808"/>
      <c r="AT334" s="808"/>
      <c r="AU334" s="808"/>
      <c r="AV334" s="808"/>
      <c r="AW334" s="808"/>
      <c r="AX334" s="808"/>
      <c r="AY334" s="808"/>
      <c r="AZ334" s="808"/>
      <c r="BA334" s="808"/>
      <c r="BB334" s="808"/>
      <c r="BC334" s="808"/>
      <c r="BD334" s="808"/>
      <c r="BE334" s="808"/>
      <c r="BF334" s="808"/>
      <c r="BG334" s="808"/>
      <c r="BH334" s="808"/>
      <c r="BI334" s="808"/>
      <c r="BJ334" s="808"/>
      <c r="BK334" s="808"/>
      <c r="BL334" s="808"/>
      <c r="BM334" s="808"/>
      <c r="BN334" s="808"/>
      <c r="BO334" s="808"/>
      <c r="BP334" s="808"/>
      <c r="BQ334" s="808"/>
      <c r="BR334" s="808"/>
      <c r="BS334" s="808"/>
      <c r="BT334" s="808"/>
      <c r="BU334" s="808"/>
      <c r="BV334" s="808"/>
      <c r="BW334" s="808"/>
      <c r="BX334" s="808"/>
      <c r="BY334" s="808"/>
      <c r="BZ334" s="808"/>
      <c r="CA334" s="808"/>
      <c r="CB334" s="808"/>
      <c r="CC334" s="808"/>
      <c r="CD334" s="808"/>
      <c r="CE334" s="808"/>
      <c r="CF334" s="808"/>
      <c r="CG334" s="808"/>
      <c r="CH334" s="808"/>
      <c r="CI334" s="808"/>
      <c r="CJ334" s="808"/>
      <c r="CK334" s="808"/>
      <c r="CL334" s="808"/>
      <c r="CM334" s="808"/>
      <c r="CN334" s="808"/>
      <c r="CO334" s="808"/>
      <c r="CP334" s="808"/>
      <c r="CQ334" s="808"/>
      <c r="CR334" s="808"/>
      <c r="CS334" s="808"/>
      <c r="CT334" s="808"/>
      <c r="CU334" s="808"/>
      <c r="CV334" s="808"/>
      <c r="CW334" s="808"/>
      <c r="CX334" s="808"/>
      <c r="CY334" s="808"/>
      <c r="CZ334" s="808"/>
      <c r="DA334" s="808"/>
      <c r="DB334" s="808"/>
      <c r="DC334" s="808"/>
      <c r="DD334" s="808"/>
      <c r="DE334" s="808"/>
      <c r="DF334" s="808"/>
      <c r="DG334" s="808"/>
      <c r="DH334" s="808"/>
      <c r="DI334" s="808"/>
      <c r="DJ334" s="808"/>
      <c r="DK334" s="808"/>
      <c r="DL334" s="808"/>
      <c r="DM334" s="808"/>
      <c r="DN334" s="808"/>
      <c r="DO334" s="808"/>
      <c r="DP334" s="808"/>
    </row>
    <row r="335" spans="1:120">
      <c r="A335" s="821"/>
      <c r="B335" s="813" t="s">
        <v>1273</v>
      </c>
      <c r="C335" s="814" t="s">
        <v>1361</v>
      </c>
      <c r="D335" s="815">
        <v>0</v>
      </c>
      <c r="E335" s="815">
        <v>2059073.6</v>
      </c>
      <c r="F335" s="815">
        <f>3591492703.78/1000</f>
        <v>3591492.7037800001</v>
      </c>
      <c r="K335" s="808"/>
      <c r="M335" s="808"/>
      <c r="N335" s="808"/>
      <c r="O335" s="808"/>
      <c r="P335" s="808"/>
      <c r="Q335" s="808"/>
      <c r="R335" s="808"/>
      <c r="S335" s="808"/>
      <c r="T335" s="808"/>
      <c r="U335" s="808"/>
      <c r="V335" s="808"/>
      <c r="W335" s="808"/>
      <c r="X335" s="808"/>
      <c r="Y335" s="808"/>
      <c r="Z335" s="808"/>
      <c r="AA335" s="808"/>
      <c r="AB335" s="808"/>
      <c r="AC335" s="808"/>
      <c r="AD335" s="808"/>
      <c r="AE335" s="808"/>
      <c r="AF335" s="808"/>
      <c r="AG335" s="808"/>
      <c r="AH335" s="808"/>
      <c r="AI335" s="808"/>
      <c r="AJ335" s="808"/>
      <c r="AK335" s="808"/>
      <c r="AL335" s="808"/>
      <c r="AM335" s="808"/>
      <c r="AN335" s="808"/>
      <c r="AO335" s="808"/>
      <c r="AP335" s="808"/>
      <c r="AQ335" s="808"/>
      <c r="AR335" s="808"/>
      <c r="AS335" s="808"/>
      <c r="AT335" s="808"/>
      <c r="AU335" s="808"/>
      <c r="AV335" s="808"/>
      <c r="AW335" s="808"/>
      <c r="AX335" s="808"/>
      <c r="AY335" s="808"/>
      <c r="AZ335" s="808"/>
      <c r="BA335" s="808"/>
      <c r="BB335" s="808"/>
      <c r="BC335" s="808"/>
      <c r="BD335" s="808"/>
      <c r="BE335" s="808"/>
      <c r="BF335" s="808"/>
      <c r="BG335" s="808"/>
      <c r="BH335" s="808"/>
      <c r="BI335" s="808"/>
      <c r="BJ335" s="808"/>
      <c r="BK335" s="808"/>
      <c r="BL335" s="808"/>
      <c r="BM335" s="808"/>
      <c r="BN335" s="808"/>
      <c r="BO335" s="808"/>
      <c r="BP335" s="808"/>
      <c r="BQ335" s="808"/>
      <c r="BR335" s="808"/>
      <c r="BS335" s="808"/>
      <c r="BT335" s="808"/>
      <c r="BU335" s="808"/>
      <c r="BV335" s="808"/>
      <c r="BW335" s="808"/>
      <c r="BX335" s="808"/>
      <c r="BY335" s="808"/>
      <c r="BZ335" s="808"/>
      <c r="CA335" s="808"/>
      <c r="CB335" s="808"/>
      <c r="CC335" s="808"/>
      <c r="CD335" s="808"/>
      <c r="CE335" s="808"/>
      <c r="CF335" s="808"/>
      <c r="CG335" s="808"/>
      <c r="CH335" s="808"/>
      <c r="CI335" s="808"/>
      <c r="CJ335" s="808"/>
      <c r="CK335" s="808"/>
      <c r="CL335" s="808"/>
      <c r="CM335" s="808"/>
      <c r="CN335" s="808"/>
      <c r="CO335" s="808"/>
      <c r="CP335" s="808"/>
      <c r="CQ335" s="808"/>
      <c r="CR335" s="808"/>
      <c r="CS335" s="808"/>
      <c r="CT335" s="808"/>
      <c r="CU335" s="808"/>
      <c r="CV335" s="808"/>
      <c r="CW335" s="808"/>
      <c r="CX335" s="808"/>
      <c r="CY335" s="808"/>
      <c r="CZ335" s="808"/>
      <c r="DA335" s="808"/>
      <c r="DB335" s="808"/>
      <c r="DC335" s="808"/>
      <c r="DD335" s="808"/>
      <c r="DE335" s="808"/>
      <c r="DF335" s="808"/>
      <c r="DG335" s="808"/>
      <c r="DH335" s="808"/>
      <c r="DI335" s="808"/>
      <c r="DJ335" s="808"/>
      <c r="DK335" s="808"/>
      <c r="DL335" s="808"/>
      <c r="DM335" s="808"/>
      <c r="DN335" s="808"/>
      <c r="DO335" s="808"/>
      <c r="DP335" s="808"/>
    </row>
    <row r="336" spans="1:120">
      <c r="A336" s="821"/>
      <c r="B336" s="813" t="s">
        <v>1278</v>
      </c>
      <c r="C336" s="816" t="s">
        <v>82</v>
      </c>
      <c r="D336" s="815">
        <v>0</v>
      </c>
      <c r="E336" s="815">
        <f>+E333+E334+E335</f>
        <v>21898501.100000001</v>
      </c>
      <c r="F336" s="815">
        <f>+F333+F334+F335</f>
        <v>31077411.221220002</v>
      </c>
      <c r="K336" s="808"/>
      <c r="M336" s="808"/>
      <c r="N336" s="808"/>
      <c r="O336" s="808"/>
      <c r="P336" s="808"/>
      <c r="Q336" s="808"/>
      <c r="R336" s="808"/>
      <c r="S336" s="808"/>
      <c r="T336" s="808"/>
      <c r="U336" s="808"/>
      <c r="V336" s="808"/>
      <c r="W336" s="808"/>
      <c r="X336" s="808"/>
      <c r="Y336" s="808"/>
      <c r="Z336" s="808"/>
      <c r="AA336" s="808"/>
      <c r="AB336" s="808"/>
      <c r="AC336" s="808"/>
      <c r="AD336" s="808"/>
      <c r="AE336" s="808"/>
      <c r="AF336" s="808"/>
      <c r="AG336" s="808"/>
      <c r="AH336" s="808"/>
      <c r="AI336" s="808"/>
      <c r="AJ336" s="808"/>
      <c r="AK336" s="808"/>
      <c r="AL336" s="808"/>
      <c r="AM336" s="808"/>
      <c r="AN336" s="808"/>
      <c r="AO336" s="808"/>
      <c r="AP336" s="808"/>
      <c r="AQ336" s="808"/>
      <c r="AR336" s="808"/>
      <c r="AS336" s="808"/>
      <c r="AT336" s="808"/>
      <c r="AU336" s="808"/>
      <c r="AV336" s="808"/>
      <c r="AW336" s="808"/>
      <c r="AX336" s="808"/>
      <c r="AY336" s="808"/>
      <c r="AZ336" s="808"/>
      <c r="BA336" s="808"/>
      <c r="BB336" s="808"/>
      <c r="BC336" s="808"/>
      <c r="BD336" s="808"/>
      <c r="BE336" s="808"/>
      <c r="BF336" s="808"/>
      <c r="BG336" s="808"/>
      <c r="BH336" s="808"/>
      <c r="BI336" s="808"/>
      <c r="BJ336" s="808"/>
      <c r="BK336" s="808"/>
      <c r="BL336" s="808"/>
      <c r="BM336" s="808"/>
      <c r="BN336" s="808"/>
      <c r="BO336" s="808"/>
      <c r="BP336" s="808"/>
      <c r="BQ336" s="808"/>
      <c r="BR336" s="808"/>
      <c r="BS336" s="808"/>
      <c r="BT336" s="808"/>
      <c r="BU336" s="808"/>
      <c r="BV336" s="808"/>
      <c r="BW336" s="808"/>
      <c r="BX336" s="808"/>
      <c r="BY336" s="808"/>
      <c r="BZ336" s="808"/>
      <c r="CA336" s="808"/>
      <c r="CB336" s="808"/>
      <c r="CC336" s="808"/>
      <c r="CD336" s="808"/>
      <c r="CE336" s="808"/>
      <c r="CF336" s="808"/>
      <c r="CG336" s="808"/>
      <c r="CH336" s="808"/>
      <c r="CI336" s="808"/>
      <c r="CJ336" s="808"/>
      <c r="CK336" s="808"/>
      <c r="CL336" s="808"/>
      <c r="CM336" s="808"/>
      <c r="CN336" s="808"/>
      <c r="CO336" s="808"/>
      <c r="CP336" s="808"/>
      <c r="CQ336" s="808"/>
      <c r="CR336" s="808"/>
      <c r="CS336" s="808"/>
      <c r="CT336" s="808"/>
      <c r="CU336" s="808"/>
      <c r="CV336" s="808"/>
      <c r="CW336" s="808"/>
      <c r="CX336" s="808"/>
      <c r="CY336" s="808"/>
      <c r="CZ336" s="808"/>
      <c r="DA336" s="808"/>
      <c r="DB336" s="808"/>
      <c r="DC336" s="808"/>
      <c r="DD336" s="808"/>
      <c r="DE336" s="808"/>
      <c r="DF336" s="808"/>
      <c r="DG336" s="808"/>
      <c r="DH336" s="808"/>
      <c r="DI336" s="808"/>
      <c r="DJ336" s="808"/>
      <c r="DK336" s="808"/>
      <c r="DL336" s="808"/>
      <c r="DM336" s="808"/>
      <c r="DN336" s="808"/>
      <c r="DO336" s="808"/>
      <c r="DP336" s="808"/>
    </row>
    <row r="337" spans="1:120">
      <c r="A337" s="821" t="s">
        <v>1201</v>
      </c>
      <c r="B337" s="807" t="s">
        <v>1201</v>
      </c>
      <c r="C337" s="808" t="s">
        <v>1201</v>
      </c>
      <c r="D337" s="214" t="s">
        <v>1201</v>
      </c>
      <c r="F337" s="214">
        <f>31077411221.22/1000</f>
        <v>31077411.221220002</v>
      </c>
      <c r="K337" s="808"/>
      <c r="M337" s="808"/>
      <c r="N337" s="808"/>
      <c r="O337" s="808"/>
      <c r="P337" s="808"/>
      <c r="Q337" s="808"/>
      <c r="R337" s="808"/>
      <c r="S337" s="808"/>
      <c r="T337" s="808"/>
      <c r="U337" s="808"/>
      <c r="V337" s="808"/>
      <c r="W337" s="808"/>
      <c r="X337" s="808"/>
      <c r="Y337" s="808"/>
      <c r="Z337" s="808"/>
      <c r="AA337" s="808"/>
      <c r="AB337" s="808"/>
      <c r="AC337" s="808"/>
      <c r="AD337" s="808"/>
      <c r="AE337" s="808"/>
      <c r="AF337" s="808"/>
      <c r="AG337" s="808"/>
      <c r="AH337" s="808"/>
      <c r="AI337" s="808"/>
      <c r="AJ337" s="808"/>
      <c r="AK337" s="808"/>
      <c r="AL337" s="808"/>
      <c r="AM337" s="808"/>
      <c r="AN337" s="808"/>
      <c r="AO337" s="808"/>
      <c r="AP337" s="808"/>
      <c r="AQ337" s="808"/>
      <c r="AR337" s="808"/>
      <c r="AS337" s="808"/>
      <c r="AT337" s="808"/>
      <c r="AU337" s="808"/>
      <c r="AV337" s="808"/>
      <c r="AW337" s="808"/>
      <c r="AX337" s="808"/>
      <c r="AY337" s="808"/>
      <c r="AZ337" s="808"/>
      <c r="BA337" s="808"/>
      <c r="BB337" s="808"/>
      <c r="BC337" s="808"/>
      <c r="BD337" s="808"/>
      <c r="BE337" s="808"/>
      <c r="BF337" s="808"/>
      <c r="BG337" s="808"/>
      <c r="BH337" s="808"/>
      <c r="BI337" s="808"/>
      <c r="BJ337" s="808"/>
      <c r="BK337" s="808"/>
      <c r="BL337" s="808"/>
      <c r="BM337" s="808"/>
      <c r="BN337" s="808"/>
      <c r="BO337" s="808"/>
      <c r="BP337" s="984"/>
      <c r="BQ337" s="984"/>
      <c r="BR337" s="984"/>
      <c r="BS337" s="984"/>
      <c r="BT337" s="984"/>
      <c r="BU337" s="984"/>
      <c r="BV337" s="984"/>
      <c r="BW337" s="984"/>
      <c r="BX337" s="984"/>
      <c r="BY337" s="984"/>
      <c r="BZ337" s="984"/>
      <c r="CA337" s="984"/>
      <c r="CB337" s="984"/>
      <c r="CC337" s="984"/>
      <c r="CD337" s="984"/>
      <c r="CE337" s="984"/>
      <c r="CF337" s="984"/>
      <c r="CG337" s="984"/>
      <c r="CH337" s="984"/>
      <c r="CI337" s="984"/>
      <c r="CJ337" s="984"/>
      <c r="CK337" s="984"/>
      <c r="CL337" s="984"/>
      <c r="CM337" s="984"/>
      <c r="CN337" s="984"/>
      <c r="CO337" s="984"/>
      <c r="CP337" s="984"/>
      <c r="CQ337" s="984"/>
      <c r="CR337" s="984"/>
      <c r="CS337" s="984"/>
      <c r="CT337" s="984"/>
      <c r="CU337" s="984"/>
      <c r="CV337" s="984"/>
      <c r="CW337" s="984"/>
      <c r="CX337" s="984"/>
      <c r="CY337" s="984"/>
      <c r="CZ337" s="984"/>
      <c r="DA337" s="984"/>
      <c r="DB337" s="984"/>
      <c r="DC337" s="984"/>
      <c r="DD337" s="984"/>
      <c r="DE337" s="984"/>
      <c r="DF337" s="984"/>
      <c r="DG337" s="984"/>
      <c r="DH337" s="984"/>
      <c r="DI337" s="984"/>
      <c r="DJ337" s="984"/>
      <c r="DK337" s="984"/>
      <c r="DL337" s="984"/>
      <c r="DM337" s="984"/>
      <c r="DN337" s="984"/>
      <c r="DO337" s="984"/>
      <c r="DP337" s="984"/>
    </row>
    <row r="338" spans="1:120">
      <c r="A338" s="821"/>
      <c r="B338" s="809" t="s">
        <v>1362</v>
      </c>
      <c r="C338" s="808"/>
      <c r="F338" s="214">
        <f>+F336-F337</f>
        <v>0</v>
      </c>
      <c r="K338" s="808"/>
      <c r="M338" s="808"/>
      <c r="N338" s="808"/>
      <c r="O338" s="808"/>
      <c r="P338" s="808"/>
      <c r="Q338" s="808"/>
      <c r="R338" s="808"/>
      <c r="S338" s="808"/>
      <c r="T338" s="808"/>
      <c r="U338" s="808"/>
      <c r="V338" s="808"/>
      <c r="W338" s="808"/>
      <c r="X338" s="808"/>
      <c r="Y338" s="808"/>
      <c r="Z338" s="808"/>
      <c r="AA338" s="808"/>
      <c r="AB338" s="808"/>
      <c r="AC338" s="808"/>
      <c r="AD338" s="808"/>
      <c r="AE338" s="808"/>
      <c r="AF338" s="808"/>
      <c r="AG338" s="808"/>
      <c r="AH338" s="808"/>
      <c r="AI338" s="808"/>
      <c r="AJ338" s="808"/>
      <c r="AK338" s="808"/>
      <c r="AL338" s="808"/>
      <c r="AM338" s="808"/>
      <c r="AN338" s="808"/>
      <c r="AO338" s="808"/>
      <c r="AP338" s="808"/>
      <c r="AQ338" s="808"/>
      <c r="AR338" s="808"/>
      <c r="AS338" s="808"/>
      <c r="AT338" s="808"/>
      <c r="AU338" s="808"/>
      <c r="AV338" s="808"/>
      <c r="AW338" s="808"/>
      <c r="AX338" s="808"/>
      <c r="AY338" s="808"/>
      <c r="AZ338" s="808"/>
      <c r="BA338" s="808"/>
      <c r="BB338" s="808"/>
      <c r="BC338" s="808"/>
      <c r="BD338" s="808"/>
      <c r="BE338" s="808"/>
      <c r="BF338" s="808"/>
      <c r="BG338" s="808"/>
      <c r="BH338" s="808"/>
      <c r="BI338" s="808"/>
      <c r="BJ338" s="808"/>
      <c r="BK338" s="808"/>
      <c r="BL338" s="808"/>
      <c r="BM338" s="808"/>
      <c r="BN338" s="808"/>
      <c r="BO338" s="808"/>
      <c r="BP338" s="808"/>
      <c r="BQ338" s="808"/>
      <c r="BR338" s="808"/>
      <c r="BS338" s="808"/>
      <c r="BT338" s="808"/>
      <c r="BU338" s="808"/>
      <c r="BV338" s="808"/>
      <c r="BW338" s="808"/>
      <c r="BX338" s="808"/>
      <c r="BY338" s="808"/>
      <c r="BZ338" s="808"/>
      <c r="CA338" s="808"/>
      <c r="CB338" s="808"/>
      <c r="CC338" s="808"/>
      <c r="CD338" s="808"/>
      <c r="CE338" s="808"/>
      <c r="CF338" s="808"/>
      <c r="CG338" s="808"/>
      <c r="CH338" s="808"/>
      <c r="CI338" s="808"/>
      <c r="CJ338" s="808"/>
      <c r="CK338" s="808"/>
      <c r="CL338" s="808"/>
      <c r="CM338" s="808"/>
      <c r="CN338" s="808"/>
      <c r="CO338" s="808"/>
      <c r="CP338" s="808"/>
      <c r="CQ338" s="808"/>
      <c r="CR338" s="808"/>
      <c r="CS338" s="808"/>
      <c r="CT338" s="808"/>
      <c r="CU338" s="808"/>
      <c r="CV338" s="808"/>
      <c r="CW338" s="808"/>
      <c r="CX338" s="808"/>
      <c r="CY338" s="808"/>
      <c r="CZ338" s="808"/>
      <c r="DA338" s="808"/>
      <c r="DB338" s="808"/>
      <c r="DC338" s="808"/>
      <c r="DD338" s="808"/>
      <c r="DE338" s="808"/>
      <c r="DF338" s="808"/>
      <c r="DG338" s="808"/>
      <c r="DH338" s="808"/>
      <c r="DI338" s="808"/>
      <c r="DJ338" s="808"/>
      <c r="DK338" s="808"/>
      <c r="DL338" s="808"/>
      <c r="DM338" s="808"/>
      <c r="DN338" s="808"/>
      <c r="DO338" s="808"/>
      <c r="DP338" s="808"/>
    </row>
    <row r="339" spans="1:120">
      <c r="A339" s="821"/>
      <c r="B339" s="807"/>
      <c r="C339" s="808"/>
      <c r="E339" s="810" t="s">
        <v>1203</v>
      </c>
      <c r="K339" s="808"/>
      <c r="M339" s="808"/>
      <c r="N339" s="808"/>
      <c r="O339" s="808"/>
      <c r="P339" s="808"/>
      <c r="Q339" s="808"/>
      <c r="R339" s="808"/>
      <c r="S339" s="808"/>
      <c r="T339" s="808"/>
      <c r="U339" s="808"/>
      <c r="V339" s="808"/>
      <c r="W339" s="808"/>
      <c r="X339" s="808"/>
      <c r="Y339" s="808"/>
      <c r="Z339" s="808"/>
      <c r="AA339" s="808"/>
      <c r="AB339" s="808"/>
      <c r="AC339" s="808"/>
      <c r="AD339" s="808"/>
      <c r="AE339" s="808"/>
      <c r="AF339" s="808"/>
      <c r="AG339" s="808"/>
      <c r="AH339" s="808"/>
      <c r="AI339" s="808"/>
      <c r="AJ339" s="808"/>
      <c r="AK339" s="808"/>
      <c r="AL339" s="808"/>
      <c r="AM339" s="808"/>
      <c r="AN339" s="808"/>
      <c r="AO339" s="808"/>
      <c r="AP339" s="808"/>
      <c r="AQ339" s="808"/>
      <c r="AR339" s="808"/>
      <c r="AS339" s="808"/>
      <c r="AT339" s="808"/>
      <c r="AU339" s="808"/>
      <c r="AV339" s="808"/>
      <c r="AW339" s="808"/>
      <c r="AX339" s="808"/>
      <c r="AY339" s="808"/>
      <c r="AZ339" s="808"/>
      <c r="BA339" s="808"/>
      <c r="BB339" s="808"/>
      <c r="BC339" s="808"/>
      <c r="BD339" s="808"/>
      <c r="BE339" s="808"/>
      <c r="BF339" s="808"/>
      <c r="BG339" s="808"/>
      <c r="BH339" s="808"/>
      <c r="BI339" s="808"/>
      <c r="BJ339" s="808"/>
      <c r="BK339" s="808"/>
      <c r="BL339" s="808"/>
      <c r="BM339" s="808"/>
      <c r="BN339" s="808"/>
      <c r="BO339" s="808"/>
      <c r="BP339" s="808"/>
      <c r="BQ339" s="808"/>
      <c r="BR339" s="808"/>
      <c r="BS339" s="808"/>
      <c r="BT339" s="808"/>
      <c r="BU339" s="808"/>
      <c r="BV339" s="808"/>
      <c r="BW339" s="808"/>
      <c r="BX339" s="808"/>
      <c r="BY339" s="808"/>
      <c r="BZ339" s="808"/>
      <c r="CA339" s="808"/>
      <c r="CB339" s="808"/>
      <c r="CC339" s="808"/>
      <c r="CD339" s="808"/>
      <c r="CE339" s="808"/>
      <c r="CF339" s="808"/>
      <c r="CG339" s="808"/>
      <c r="CH339" s="808"/>
      <c r="CI339" s="808"/>
      <c r="CJ339" s="808"/>
      <c r="CK339" s="808"/>
      <c r="CL339" s="808"/>
      <c r="CM339" s="808"/>
      <c r="CN339" s="808"/>
      <c r="CO339" s="808"/>
      <c r="CP339" s="808"/>
      <c r="CQ339" s="808"/>
      <c r="CR339" s="808"/>
      <c r="CS339" s="808"/>
      <c r="CT339" s="808"/>
      <c r="CU339" s="808"/>
      <c r="CV339" s="808"/>
      <c r="CW339" s="808"/>
      <c r="CX339" s="808"/>
      <c r="CY339" s="808"/>
      <c r="CZ339" s="808"/>
      <c r="DA339" s="808"/>
      <c r="DB339" s="808"/>
      <c r="DC339" s="808"/>
      <c r="DD339" s="808"/>
      <c r="DE339" s="808"/>
      <c r="DF339" s="808"/>
      <c r="DG339" s="808"/>
      <c r="DH339" s="808"/>
      <c r="DI339" s="808"/>
      <c r="DJ339" s="808"/>
      <c r="DK339" s="808"/>
      <c r="DL339" s="808"/>
      <c r="DM339" s="808"/>
      <c r="DN339" s="808"/>
      <c r="DO339" s="808"/>
      <c r="DP339" s="808"/>
    </row>
    <row r="340" spans="1:120">
      <c r="A340" s="821"/>
      <c r="B340" s="811" t="s">
        <v>79</v>
      </c>
      <c r="C340" s="811" t="s">
        <v>5</v>
      </c>
      <c r="D340" s="812" t="s">
        <v>194</v>
      </c>
      <c r="E340" s="812" t="s">
        <v>195</v>
      </c>
      <c r="K340" s="808"/>
      <c r="M340" s="808"/>
      <c r="N340" s="808"/>
      <c r="O340" s="808"/>
      <c r="P340" s="808"/>
      <c r="Q340" s="808"/>
      <c r="R340" s="808"/>
      <c r="S340" s="808"/>
      <c r="T340" s="808"/>
      <c r="U340" s="808"/>
      <c r="V340" s="808"/>
      <c r="W340" s="808"/>
      <c r="X340" s="808"/>
      <c r="Y340" s="808"/>
      <c r="Z340" s="808"/>
      <c r="AA340" s="808"/>
      <c r="AB340" s="808"/>
      <c r="AC340" s="808"/>
      <c r="AD340" s="808"/>
      <c r="AE340" s="808"/>
      <c r="AF340" s="808"/>
      <c r="AG340" s="808"/>
      <c r="AH340" s="808"/>
      <c r="AI340" s="808"/>
      <c r="AJ340" s="808"/>
      <c r="AK340" s="808"/>
      <c r="AL340" s="808"/>
      <c r="AM340" s="808"/>
      <c r="AN340" s="808"/>
      <c r="AO340" s="808"/>
      <c r="AP340" s="808"/>
      <c r="AQ340" s="808"/>
      <c r="AR340" s="808"/>
      <c r="AS340" s="808"/>
      <c r="AT340" s="808"/>
      <c r="AU340" s="808"/>
      <c r="AV340" s="808"/>
      <c r="AW340" s="808"/>
      <c r="AX340" s="808"/>
      <c r="AY340" s="808"/>
      <c r="AZ340" s="808"/>
      <c r="BA340" s="808"/>
      <c r="BB340" s="808"/>
      <c r="BC340" s="808"/>
      <c r="BD340" s="808"/>
      <c r="BE340" s="808"/>
      <c r="BF340" s="808"/>
      <c r="BG340" s="808"/>
      <c r="BH340" s="808"/>
      <c r="BI340" s="808"/>
      <c r="BJ340" s="808"/>
      <c r="BK340" s="808"/>
      <c r="BL340" s="808"/>
      <c r="BM340" s="808"/>
      <c r="BN340" s="808"/>
      <c r="BO340" s="808"/>
      <c r="BP340" s="808"/>
      <c r="BQ340" s="808"/>
      <c r="BR340" s="808"/>
      <c r="BS340" s="808"/>
      <c r="BT340" s="808"/>
      <c r="BU340" s="808"/>
      <c r="BV340" s="808"/>
      <c r="BW340" s="808"/>
      <c r="BX340" s="808"/>
      <c r="BY340" s="808"/>
      <c r="BZ340" s="808"/>
      <c r="CA340" s="808"/>
      <c r="CB340" s="808"/>
      <c r="CC340" s="808"/>
      <c r="CD340" s="808"/>
      <c r="CE340" s="808"/>
      <c r="CF340" s="808"/>
      <c r="CG340" s="808"/>
      <c r="CH340" s="808"/>
      <c r="CI340" s="808"/>
      <c r="CJ340" s="808"/>
      <c r="CK340" s="808"/>
      <c r="CL340" s="808"/>
      <c r="CM340" s="808"/>
      <c r="CN340" s="808"/>
      <c r="CO340" s="808"/>
      <c r="CP340" s="808"/>
      <c r="CQ340" s="808"/>
      <c r="CR340" s="808"/>
      <c r="CS340" s="808"/>
      <c r="CT340" s="808"/>
      <c r="CU340" s="808"/>
      <c r="CV340" s="808"/>
      <c r="CW340" s="808"/>
      <c r="CX340" s="808"/>
      <c r="CY340" s="808"/>
      <c r="CZ340" s="808"/>
      <c r="DA340" s="808"/>
      <c r="DB340" s="808"/>
      <c r="DC340" s="808"/>
      <c r="DD340" s="808"/>
      <c r="DE340" s="808"/>
      <c r="DF340" s="808"/>
      <c r="DG340" s="808"/>
      <c r="DH340" s="808"/>
      <c r="DI340" s="808"/>
      <c r="DJ340" s="808"/>
      <c r="DK340" s="808"/>
      <c r="DL340" s="808"/>
      <c r="DM340" s="808"/>
      <c r="DN340" s="808"/>
      <c r="DO340" s="808"/>
      <c r="DP340" s="808"/>
    </row>
    <row r="341" spans="1:120">
      <c r="A341" s="821"/>
      <c r="B341" s="813" t="s">
        <v>947</v>
      </c>
      <c r="C341" s="814" t="s">
        <v>1363</v>
      </c>
      <c r="D341" s="815">
        <v>6087201.0999999996</v>
      </c>
      <c r="E341" s="815">
        <f>6650890648.49029/1000</f>
        <v>6650890.6484902892</v>
      </c>
      <c r="K341" s="808"/>
      <c r="M341" s="808"/>
      <c r="N341" s="808"/>
      <c r="O341" s="808"/>
      <c r="P341" s="808"/>
      <c r="Q341" s="808"/>
      <c r="R341" s="808"/>
      <c r="S341" s="808"/>
      <c r="T341" s="808"/>
      <c r="U341" s="808"/>
      <c r="V341" s="808"/>
      <c r="W341" s="808"/>
      <c r="X341" s="808"/>
      <c r="Y341" s="808"/>
      <c r="Z341" s="808"/>
      <c r="AA341" s="808"/>
      <c r="AB341" s="808"/>
      <c r="AC341" s="808"/>
      <c r="AD341" s="808"/>
      <c r="AE341" s="808"/>
      <c r="AF341" s="808"/>
      <c r="AG341" s="808"/>
      <c r="AH341" s="808"/>
      <c r="AI341" s="808"/>
      <c r="AJ341" s="808"/>
      <c r="AK341" s="808"/>
      <c r="AL341" s="808"/>
      <c r="AM341" s="808"/>
      <c r="AN341" s="808"/>
      <c r="AO341" s="808"/>
      <c r="AP341" s="808"/>
      <c r="AQ341" s="808"/>
      <c r="AR341" s="808"/>
      <c r="AS341" s="808"/>
      <c r="AT341" s="808"/>
      <c r="AU341" s="808"/>
      <c r="AV341" s="808"/>
      <c r="AW341" s="808"/>
      <c r="AX341" s="808"/>
      <c r="AY341" s="808"/>
      <c r="AZ341" s="808"/>
      <c r="BA341" s="808"/>
      <c r="BB341" s="808"/>
      <c r="BC341" s="808"/>
      <c r="BD341" s="808"/>
      <c r="BE341" s="808"/>
      <c r="BF341" s="808"/>
      <c r="BG341" s="808"/>
      <c r="BH341" s="808"/>
      <c r="BI341" s="808"/>
      <c r="BJ341" s="808"/>
      <c r="BK341" s="808"/>
      <c r="BL341" s="808"/>
      <c r="BM341" s="808"/>
      <c r="BN341" s="808"/>
      <c r="BO341" s="808"/>
      <c r="BP341" s="808"/>
      <c r="BQ341" s="808"/>
      <c r="BR341" s="808"/>
      <c r="BS341" s="808"/>
      <c r="BT341" s="808"/>
      <c r="BU341" s="808"/>
      <c r="BV341" s="808"/>
      <c r="BW341" s="808"/>
      <c r="BX341" s="808"/>
      <c r="BY341" s="808"/>
      <c r="BZ341" s="808"/>
      <c r="CA341" s="808"/>
      <c r="CB341" s="808"/>
      <c r="CC341" s="808"/>
      <c r="CD341" s="808"/>
      <c r="CE341" s="808"/>
      <c r="CF341" s="808"/>
      <c r="CG341" s="808"/>
      <c r="CH341" s="808"/>
      <c r="CI341" s="808"/>
      <c r="CJ341" s="808"/>
      <c r="CK341" s="808"/>
      <c r="CL341" s="808"/>
      <c r="CM341" s="808"/>
      <c r="CN341" s="808"/>
      <c r="CO341" s="808"/>
      <c r="CP341" s="808"/>
      <c r="CQ341" s="808"/>
      <c r="CR341" s="808"/>
      <c r="CS341" s="808"/>
      <c r="CT341" s="808"/>
      <c r="CU341" s="808"/>
      <c r="CV341" s="808"/>
      <c r="CW341" s="808"/>
      <c r="CX341" s="808"/>
      <c r="CY341" s="808"/>
      <c r="CZ341" s="808"/>
      <c r="DA341" s="808"/>
      <c r="DB341" s="808"/>
      <c r="DC341" s="808"/>
      <c r="DD341" s="808"/>
      <c r="DE341" s="808"/>
      <c r="DF341" s="808"/>
      <c r="DG341" s="808"/>
      <c r="DH341" s="808"/>
      <c r="DI341" s="808"/>
      <c r="DJ341" s="808"/>
      <c r="DK341" s="808"/>
      <c r="DL341" s="808"/>
      <c r="DM341" s="808"/>
      <c r="DN341" s="808"/>
      <c r="DO341" s="808"/>
      <c r="DP341" s="808"/>
    </row>
    <row r="342" spans="1:120">
      <c r="A342" s="821"/>
      <c r="B342" s="813" t="s">
        <v>950</v>
      </c>
      <c r="C342" s="814" t="s">
        <v>1364</v>
      </c>
      <c r="D342" s="815">
        <v>-147923.6</v>
      </c>
      <c r="E342" s="815">
        <f>-1166622287.69917/1000</f>
        <v>-1166622.2876991702</v>
      </c>
      <c r="K342" s="808"/>
      <c r="M342" s="808"/>
      <c r="N342" s="808"/>
      <c r="O342" s="808"/>
      <c r="P342" s="808"/>
      <c r="Q342" s="808"/>
      <c r="R342" s="808"/>
      <c r="S342" s="808"/>
      <c r="T342" s="808"/>
      <c r="U342" s="808"/>
      <c r="V342" s="808"/>
      <c r="W342" s="808"/>
      <c r="X342" s="808"/>
      <c r="Y342" s="808"/>
      <c r="Z342" s="808"/>
      <c r="AA342" s="808"/>
      <c r="AB342" s="808"/>
      <c r="AC342" s="808"/>
      <c r="AD342" s="808"/>
      <c r="AE342" s="808"/>
      <c r="AF342" s="808"/>
      <c r="AG342" s="808"/>
      <c r="AH342" s="808"/>
      <c r="AI342" s="808"/>
      <c r="AJ342" s="808"/>
      <c r="AK342" s="808"/>
      <c r="AL342" s="808"/>
      <c r="AM342" s="808"/>
      <c r="AN342" s="808"/>
      <c r="AO342" s="808"/>
      <c r="AP342" s="808"/>
      <c r="AQ342" s="808"/>
      <c r="AR342" s="808"/>
      <c r="AS342" s="808"/>
      <c r="AT342" s="808"/>
      <c r="AU342" s="808"/>
      <c r="AV342" s="808"/>
      <c r="AW342" s="808"/>
      <c r="AX342" s="808"/>
      <c r="AY342" s="808"/>
      <c r="AZ342" s="808"/>
      <c r="BA342" s="808"/>
      <c r="BB342" s="808"/>
      <c r="BC342" s="808"/>
      <c r="BD342" s="808"/>
      <c r="BE342" s="808"/>
      <c r="BF342" s="808"/>
      <c r="BG342" s="808"/>
      <c r="BH342" s="808"/>
      <c r="BI342" s="808"/>
      <c r="BJ342" s="808"/>
      <c r="BK342" s="808"/>
      <c r="BL342" s="808"/>
      <c r="BM342" s="808"/>
      <c r="BN342" s="808"/>
      <c r="BO342" s="808"/>
      <c r="BP342" s="808"/>
      <c r="BQ342" s="808"/>
      <c r="BR342" s="808"/>
      <c r="BS342" s="808"/>
      <c r="BT342" s="808"/>
      <c r="BU342" s="808"/>
      <c r="BV342" s="808"/>
      <c r="BW342" s="808"/>
      <c r="BX342" s="808"/>
      <c r="BY342" s="808"/>
      <c r="BZ342" s="808"/>
      <c r="CA342" s="808"/>
      <c r="CB342" s="808"/>
      <c r="CC342" s="808"/>
      <c r="CD342" s="808"/>
      <c r="CE342" s="808"/>
      <c r="CF342" s="808"/>
      <c r="CG342" s="808"/>
      <c r="CH342" s="808"/>
      <c r="CI342" s="808"/>
      <c r="CJ342" s="808"/>
      <c r="CK342" s="808"/>
      <c r="CL342" s="808"/>
      <c r="CM342" s="808"/>
      <c r="CN342" s="808"/>
      <c r="CO342" s="808"/>
      <c r="CP342" s="808"/>
      <c r="CQ342" s="808"/>
      <c r="CR342" s="808"/>
      <c r="CS342" s="808"/>
      <c r="CT342" s="808"/>
      <c r="CU342" s="808"/>
      <c r="CV342" s="808"/>
      <c r="CW342" s="808"/>
      <c r="CX342" s="808"/>
      <c r="CY342" s="808"/>
      <c r="CZ342" s="808"/>
      <c r="DA342" s="808"/>
      <c r="DB342" s="808"/>
      <c r="DC342" s="808"/>
      <c r="DD342" s="808"/>
      <c r="DE342" s="808"/>
      <c r="DF342" s="808"/>
      <c r="DG342" s="808"/>
      <c r="DH342" s="808"/>
      <c r="DI342" s="808"/>
      <c r="DJ342" s="808"/>
      <c r="DK342" s="808"/>
      <c r="DL342" s="808"/>
      <c r="DM342" s="808"/>
      <c r="DN342" s="808"/>
      <c r="DO342" s="808"/>
      <c r="DP342" s="808"/>
    </row>
    <row r="343" spans="1:120" ht="26.4">
      <c r="A343" s="821"/>
      <c r="B343" s="813" t="s">
        <v>961</v>
      </c>
      <c r="C343" s="816" t="s">
        <v>1365</v>
      </c>
      <c r="D343" s="815">
        <f>SUM(D341:D342)</f>
        <v>5939277.5</v>
      </c>
      <c r="E343" s="815">
        <f>SUM(E341:E342)</f>
        <v>5484268.3607911188</v>
      </c>
      <c r="F343" s="214" t="e">
        <f>+income!#REF!</f>
        <v>#REF!</v>
      </c>
      <c r="K343" s="808"/>
      <c r="M343" s="808"/>
      <c r="N343" s="808"/>
      <c r="O343" s="808"/>
      <c r="P343" s="808"/>
      <c r="Q343" s="808"/>
      <c r="R343" s="808"/>
      <c r="S343" s="808"/>
      <c r="T343" s="808"/>
      <c r="U343" s="808"/>
      <c r="V343" s="808"/>
      <c r="W343" s="808"/>
      <c r="X343" s="808"/>
      <c r="Y343" s="808"/>
      <c r="Z343" s="808"/>
      <c r="AA343" s="808"/>
      <c r="AB343" s="808"/>
      <c r="AC343" s="808"/>
      <c r="AD343" s="808"/>
      <c r="AE343" s="808"/>
      <c r="AF343" s="808"/>
      <c r="AG343" s="808"/>
      <c r="AH343" s="808"/>
      <c r="AI343" s="808"/>
      <c r="AJ343" s="808"/>
      <c r="AK343" s="808"/>
      <c r="AL343" s="808"/>
      <c r="AM343" s="808"/>
      <c r="AN343" s="808"/>
      <c r="AO343" s="808"/>
      <c r="AP343" s="808"/>
      <c r="AQ343" s="808"/>
      <c r="AR343" s="808"/>
      <c r="AS343" s="808"/>
      <c r="AT343" s="808"/>
      <c r="AU343" s="808"/>
      <c r="AV343" s="808"/>
      <c r="AW343" s="808"/>
      <c r="AX343" s="808"/>
      <c r="AY343" s="808"/>
      <c r="AZ343" s="808"/>
      <c r="BA343" s="808"/>
      <c r="BB343" s="808"/>
      <c r="BC343" s="808"/>
      <c r="BD343" s="808"/>
      <c r="BE343" s="808"/>
      <c r="BF343" s="808"/>
      <c r="BG343" s="808"/>
      <c r="BH343" s="808"/>
      <c r="BI343" s="808"/>
      <c r="BJ343" s="808"/>
      <c r="BK343" s="808"/>
      <c r="BL343" s="808"/>
      <c r="BM343" s="808"/>
      <c r="BN343" s="808"/>
      <c r="BO343" s="808"/>
      <c r="BP343" s="808"/>
      <c r="BQ343" s="808"/>
      <c r="BR343" s="808"/>
      <c r="BS343" s="808"/>
      <c r="BT343" s="808"/>
      <c r="BU343" s="808"/>
      <c r="BV343" s="808"/>
      <c r="BW343" s="808"/>
      <c r="BX343" s="808"/>
      <c r="BY343" s="808"/>
      <c r="BZ343" s="808"/>
      <c r="CA343" s="808"/>
      <c r="CB343" s="808"/>
      <c r="CC343" s="808"/>
      <c r="CD343" s="808"/>
      <c r="CE343" s="808"/>
      <c r="CF343" s="808"/>
      <c r="CG343" s="808"/>
      <c r="CH343" s="808"/>
      <c r="CI343" s="808"/>
      <c r="CJ343" s="808"/>
      <c r="CK343" s="808"/>
      <c r="CL343" s="808"/>
      <c r="CM343" s="808"/>
      <c r="CN343" s="808"/>
      <c r="CO343" s="808"/>
      <c r="CP343" s="808"/>
      <c r="CQ343" s="808"/>
      <c r="CR343" s="808"/>
      <c r="CS343" s="808"/>
      <c r="CT343" s="808"/>
      <c r="CU343" s="808"/>
      <c r="CV343" s="808"/>
      <c r="CW343" s="808"/>
      <c r="CX343" s="808"/>
      <c r="CY343" s="808"/>
      <c r="CZ343" s="808"/>
      <c r="DA343" s="808"/>
      <c r="DB343" s="808"/>
      <c r="DC343" s="808"/>
      <c r="DD343" s="808"/>
      <c r="DE343" s="808"/>
      <c r="DF343" s="808"/>
      <c r="DG343" s="808"/>
      <c r="DH343" s="808"/>
      <c r="DI343" s="808"/>
      <c r="DJ343" s="808"/>
      <c r="DK343" s="808"/>
      <c r="DL343" s="808"/>
      <c r="DM343" s="808"/>
      <c r="DN343" s="808"/>
      <c r="DO343" s="808"/>
      <c r="DP343" s="808"/>
    </row>
    <row r="344" spans="1:120">
      <c r="A344" s="821"/>
      <c r="B344" s="809" t="s">
        <v>1204</v>
      </c>
      <c r="C344" s="808"/>
      <c r="D344" s="214">
        <f>+D343-income!C25/1000</f>
        <v>6105251.1077420004</v>
      </c>
      <c r="E344" s="214">
        <f>+E343-income!D25/1000</f>
        <v>8483250.1781051196</v>
      </c>
      <c r="F344" s="214" t="e">
        <f>+F343-E343</f>
        <v>#REF!</v>
      </c>
      <c r="K344" s="808"/>
      <c r="M344" s="808"/>
      <c r="N344" s="808"/>
      <c r="O344" s="808"/>
      <c r="P344" s="808"/>
      <c r="Q344" s="808"/>
      <c r="R344" s="808"/>
      <c r="S344" s="808"/>
      <c r="T344" s="808"/>
      <c r="U344" s="808"/>
      <c r="V344" s="808"/>
      <c r="W344" s="808"/>
      <c r="X344" s="808"/>
      <c r="Y344" s="808"/>
      <c r="Z344" s="808"/>
      <c r="AA344" s="808"/>
      <c r="AB344" s="808"/>
      <c r="AC344" s="808"/>
      <c r="AD344" s="808"/>
      <c r="AE344" s="808"/>
      <c r="AF344" s="808"/>
      <c r="AG344" s="808"/>
      <c r="AH344" s="808"/>
      <c r="AI344" s="808"/>
      <c r="AJ344" s="808"/>
      <c r="AK344" s="808"/>
      <c r="AL344" s="808"/>
      <c r="AM344" s="808"/>
      <c r="AN344" s="808"/>
      <c r="AO344" s="808"/>
      <c r="AP344" s="808"/>
      <c r="AQ344" s="808"/>
      <c r="AR344" s="808"/>
      <c r="AS344" s="808"/>
      <c r="AT344" s="808"/>
      <c r="AU344" s="808"/>
      <c r="AV344" s="808"/>
      <c r="AW344" s="808"/>
      <c r="AX344" s="808"/>
      <c r="AY344" s="808"/>
      <c r="AZ344" s="808"/>
      <c r="BA344" s="808"/>
      <c r="BB344" s="808"/>
      <c r="BC344" s="808"/>
      <c r="BD344" s="808"/>
      <c r="BE344" s="808"/>
      <c r="BF344" s="808"/>
      <c r="BG344" s="808"/>
      <c r="BH344" s="808"/>
      <c r="BI344" s="808"/>
      <c r="BJ344" s="808"/>
      <c r="BK344" s="808"/>
      <c r="BL344" s="808"/>
      <c r="BM344" s="808"/>
      <c r="BN344" s="808"/>
      <c r="BO344" s="808"/>
      <c r="BP344" s="808"/>
      <c r="BQ344" s="808"/>
      <c r="BR344" s="808"/>
      <c r="BS344" s="808"/>
      <c r="BT344" s="808"/>
      <c r="BU344" s="808"/>
      <c r="BV344" s="808"/>
      <c r="BW344" s="808"/>
      <c r="BX344" s="808"/>
      <c r="BY344" s="808"/>
      <c r="BZ344" s="808"/>
      <c r="CA344" s="808"/>
      <c r="CB344" s="808"/>
      <c r="CC344" s="808"/>
      <c r="CD344" s="808"/>
      <c r="CE344" s="808"/>
      <c r="CF344" s="808"/>
      <c r="CG344" s="808"/>
      <c r="CH344" s="808"/>
      <c r="CI344" s="808"/>
      <c r="CJ344" s="808"/>
      <c r="CK344" s="808"/>
      <c r="CL344" s="808"/>
      <c r="CM344" s="808"/>
      <c r="CN344" s="808"/>
      <c r="CO344" s="808"/>
      <c r="CP344" s="808"/>
      <c r="CQ344" s="808"/>
      <c r="CR344" s="808"/>
      <c r="CS344" s="808"/>
      <c r="CT344" s="808"/>
      <c r="CU344" s="808"/>
      <c r="CV344" s="808"/>
      <c r="CW344" s="808"/>
      <c r="CX344" s="808"/>
      <c r="CY344" s="808"/>
      <c r="CZ344" s="808"/>
      <c r="DA344" s="808"/>
      <c r="DB344" s="808"/>
      <c r="DC344" s="808"/>
      <c r="DD344" s="808"/>
      <c r="DE344" s="808"/>
      <c r="DF344" s="808"/>
      <c r="DG344" s="808"/>
      <c r="DH344" s="808"/>
      <c r="DI344" s="808"/>
      <c r="DJ344" s="808"/>
      <c r="DK344" s="808"/>
      <c r="DL344" s="808"/>
      <c r="DM344" s="808"/>
      <c r="DN344" s="808"/>
      <c r="DO344" s="808"/>
      <c r="DP344" s="808"/>
    </row>
    <row r="345" spans="1:120">
      <c r="A345" s="821"/>
      <c r="B345" s="809"/>
      <c r="C345" s="809" t="s">
        <v>1366</v>
      </c>
      <c r="K345" s="808"/>
      <c r="M345" s="808"/>
      <c r="N345" s="808"/>
      <c r="O345" s="808"/>
      <c r="P345" s="808"/>
      <c r="Q345" s="808"/>
      <c r="R345" s="808"/>
      <c r="S345" s="808"/>
      <c r="T345" s="808"/>
      <c r="U345" s="808"/>
      <c r="V345" s="808"/>
      <c r="W345" s="808"/>
      <c r="X345" s="808"/>
      <c r="Y345" s="808"/>
      <c r="Z345" s="808"/>
      <c r="AA345" s="808"/>
      <c r="AB345" s="808"/>
      <c r="AC345" s="808"/>
      <c r="AD345" s="808"/>
      <c r="AE345" s="808"/>
      <c r="AF345" s="808"/>
      <c r="AG345" s="808"/>
      <c r="AH345" s="808"/>
      <c r="AI345" s="808"/>
      <c r="AJ345" s="808"/>
      <c r="AK345" s="808"/>
      <c r="AL345" s="808"/>
      <c r="AM345" s="808"/>
      <c r="AN345" s="808"/>
      <c r="AO345" s="808"/>
      <c r="AP345" s="808"/>
      <c r="AQ345" s="808"/>
      <c r="AR345" s="808"/>
      <c r="AS345" s="808"/>
      <c r="AT345" s="808"/>
      <c r="AU345" s="808"/>
      <c r="AV345" s="808"/>
      <c r="AW345" s="808"/>
      <c r="AX345" s="808"/>
      <c r="AY345" s="808"/>
      <c r="AZ345" s="808"/>
      <c r="BA345" s="808"/>
      <c r="BB345" s="808"/>
      <c r="BC345" s="808"/>
      <c r="BD345" s="808"/>
      <c r="BE345" s="808"/>
      <c r="BF345" s="808"/>
      <c r="BG345" s="808"/>
      <c r="BH345" s="808"/>
      <c r="BI345" s="808"/>
      <c r="BJ345" s="808"/>
      <c r="BK345" s="808"/>
      <c r="BL345" s="808"/>
      <c r="BM345" s="808"/>
      <c r="BN345" s="808"/>
      <c r="BO345" s="808"/>
      <c r="BP345" s="808"/>
      <c r="BQ345" s="808"/>
      <c r="BR345" s="808"/>
      <c r="BS345" s="808"/>
      <c r="BT345" s="808"/>
      <c r="BU345" s="808"/>
      <c r="BV345" s="808"/>
      <c r="BW345" s="808"/>
      <c r="BX345" s="808"/>
      <c r="BY345" s="808"/>
      <c r="BZ345" s="808"/>
      <c r="CA345" s="808"/>
      <c r="CB345" s="808"/>
      <c r="CC345" s="808"/>
      <c r="CD345" s="808"/>
      <c r="CE345" s="808"/>
      <c r="CF345" s="808"/>
      <c r="CG345" s="808"/>
      <c r="CH345" s="808"/>
      <c r="CI345" s="808"/>
      <c r="CJ345" s="808"/>
      <c r="CK345" s="808"/>
      <c r="CL345" s="808"/>
      <c r="CM345" s="808"/>
      <c r="CN345" s="808"/>
      <c r="CO345" s="808"/>
      <c r="CP345" s="808"/>
      <c r="CQ345" s="808"/>
      <c r="CR345" s="808"/>
      <c r="CS345" s="808"/>
      <c r="CT345" s="808"/>
      <c r="CU345" s="808"/>
      <c r="CV345" s="808"/>
      <c r="CW345" s="808"/>
      <c r="CX345" s="808"/>
      <c r="CY345" s="808"/>
      <c r="CZ345" s="808"/>
      <c r="DA345" s="808"/>
      <c r="DB345" s="808"/>
      <c r="DC345" s="808"/>
      <c r="DD345" s="808"/>
      <c r="DE345" s="808"/>
      <c r="DF345" s="808"/>
      <c r="DG345" s="808"/>
      <c r="DH345" s="808"/>
      <c r="DI345" s="808"/>
      <c r="DJ345" s="808"/>
      <c r="DK345" s="808"/>
      <c r="DL345" s="808"/>
      <c r="DM345" s="808"/>
      <c r="DN345" s="808"/>
      <c r="DO345" s="808"/>
      <c r="DP345" s="808"/>
    </row>
    <row r="346" spans="1:120">
      <c r="A346" s="821"/>
      <c r="B346" s="807"/>
      <c r="C346" s="808"/>
      <c r="G346" s="810" t="s">
        <v>1203</v>
      </c>
      <c r="K346" s="808"/>
      <c r="M346" s="808"/>
      <c r="N346" s="808"/>
      <c r="O346" s="808"/>
      <c r="P346" s="808"/>
      <c r="Q346" s="808"/>
      <c r="R346" s="808"/>
      <c r="S346" s="808"/>
      <c r="T346" s="808"/>
      <c r="U346" s="808"/>
      <c r="V346" s="808"/>
      <c r="W346" s="808"/>
      <c r="X346" s="808"/>
      <c r="Y346" s="808"/>
      <c r="Z346" s="808"/>
      <c r="AA346" s="808"/>
      <c r="AB346" s="808"/>
      <c r="AC346" s="808"/>
      <c r="AD346" s="808"/>
      <c r="AE346" s="808"/>
      <c r="AF346" s="808"/>
      <c r="AG346" s="808"/>
      <c r="AH346" s="808"/>
      <c r="AI346" s="808"/>
      <c r="AJ346" s="808"/>
      <c r="AK346" s="808"/>
      <c r="AL346" s="808"/>
      <c r="AM346" s="808"/>
      <c r="AN346" s="808"/>
      <c r="AO346" s="808"/>
      <c r="AP346" s="808"/>
      <c r="AQ346" s="808"/>
      <c r="AR346" s="808"/>
      <c r="AS346" s="808"/>
      <c r="AT346" s="808"/>
      <c r="AU346" s="808"/>
      <c r="AV346" s="808"/>
      <c r="AW346" s="808"/>
      <c r="AX346" s="808"/>
      <c r="AY346" s="808"/>
      <c r="AZ346" s="808"/>
      <c r="BA346" s="808"/>
      <c r="BB346" s="808"/>
      <c r="BC346" s="808"/>
      <c r="BD346" s="808"/>
      <c r="BE346" s="808"/>
      <c r="BF346" s="808"/>
      <c r="BG346" s="808"/>
      <c r="BH346" s="808"/>
      <c r="BI346" s="808"/>
      <c r="BJ346" s="808"/>
      <c r="BK346" s="808"/>
      <c r="BL346" s="808"/>
      <c r="BM346" s="808"/>
      <c r="BN346" s="808"/>
      <c r="BO346" s="808"/>
      <c r="BP346" s="808"/>
      <c r="BQ346" s="808"/>
      <c r="BR346" s="808"/>
      <c r="BS346" s="808"/>
      <c r="BT346" s="808"/>
      <c r="BU346" s="808"/>
      <c r="BV346" s="808"/>
      <c r="BW346" s="808"/>
      <c r="BX346" s="808"/>
      <c r="BY346" s="808"/>
      <c r="BZ346" s="808"/>
      <c r="CA346" s="808"/>
      <c r="CB346" s="808"/>
      <c r="CC346" s="808"/>
      <c r="CD346" s="808"/>
      <c r="CE346" s="808"/>
      <c r="CF346" s="808"/>
      <c r="CG346" s="808"/>
      <c r="CH346" s="808"/>
      <c r="CI346" s="808"/>
      <c r="CJ346" s="808"/>
      <c r="CK346" s="808"/>
      <c r="CL346" s="808"/>
      <c r="CM346" s="808"/>
      <c r="CN346" s="808"/>
      <c r="CO346" s="808"/>
      <c r="CP346" s="808"/>
      <c r="CQ346" s="808"/>
      <c r="CR346" s="808"/>
      <c r="CS346" s="808"/>
      <c r="CT346" s="808"/>
      <c r="CU346" s="808"/>
      <c r="CV346" s="808"/>
      <c r="CW346" s="808"/>
      <c r="CX346" s="808"/>
      <c r="CY346" s="808"/>
      <c r="CZ346" s="808"/>
      <c r="DA346" s="808"/>
      <c r="DB346" s="808"/>
      <c r="DC346" s="808"/>
      <c r="DD346" s="808"/>
      <c r="DE346" s="808"/>
      <c r="DF346" s="808"/>
      <c r="DG346" s="808"/>
      <c r="DH346" s="808"/>
      <c r="DI346" s="808"/>
      <c r="DJ346" s="808"/>
      <c r="DK346" s="808"/>
      <c r="DL346" s="808"/>
      <c r="DM346" s="808"/>
      <c r="DN346" s="808"/>
      <c r="DO346" s="808"/>
      <c r="DP346" s="808"/>
    </row>
    <row r="347" spans="1:120" ht="39.6">
      <c r="A347" s="821"/>
      <c r="B347" s="849" t="s">
        <v>79</v>
      </c>
      <c r="C347" s="849" t="s">
        <v>5</v>
      </c>
      <c r="D347" s="850" t="s">
        <v>434</v>
      </c>
      <c r="E347" s="850" t="s">
        <v>435</v>
      </c>
      <c r="F347" s="850" t="s">
        <v>436</v>
      </c>
      <c r="G347" s="850" t="s">
        <v>454</v>
      </c>
      <c r="K347" s="808"/>
      <c r="M347" s="808"/>
      <c r="N347" s="808"/>
      <c r="O347" s="808"/>
      <c r="P347" s="808"/>
      <c r="Q347" s="808"/>
      <c r="R347" s="808"/>
      <c r="S347" s="808"/>
      <c r="T347" s="808"/>
      <c r="U347" s="808"/>
      <c r="V347" s="808"/>
      <c r="W347" s="808"/>
      <c r="X347" s="808"/>
      <c r="Y347" s="808"/>
      <c r="Z347" s="808"/>
      <c r="AA347" s="808"/>
      <c r="AB347" s="808"/>
      <c r="AC347" s="808"/>
      <c r="AD347" s="808"/>
      <c r="AE347" s="808"/>
      <c r="AF347" s="808"/>
      <c r="AG347" s="808"/>
      <c r="AH347" s="808"/>
      <c r="AI347" s="808"/>
      <c r="AJ347" s="808"/>
      <c r="AK347" s="808"/>
      <c r="AL347" s="808"/>
      <c r="AM347" s="808"/>
      <c r="AN347" s="808"/>
      <c r="AO347" s="808"/>
      <c r="AP347" s="808"/>
      <c r="AQ347" s="808"/>
      <c r="AR347" s="808"/>
      <c r="AS347" s="808"/>
      <c r="AT347" s="808"/>
      <c r="AU347" s="808"/>
      <c r="AV347" s="808"/>
      <c r="AW347" s="808"/>
      <c r="AX347" s="808"/>
      <c r="AY347" s="808"/>
      <c r="AZ347" s="808"/>
      <c r="BA347" s="808"/>
      <c r="BB347" s="808"/>
      <c r="BC347" s="808"/>
      <c r="BD347" s="808"/>
      <c r="BE347" s="808"/>
      <c r="BF347" s="808"/>
      <c r="BG347" s="808"/>
      <c r="BH347" s="808"/>
      <c r="BI347" s="808"/>
      <c r="BJ347" s="808"/>
      <c r="BK347" s="808"/>
      <c r="BL347" s="808"/>
      <c r="BM347" s="808"/>
      <c r="BN347" s="808"/>
      <c r="BO347" s="808"/>
      <c r="BP347" s="808"/>
      <c r="BQ347" s="808"/>
      <c r="BR347" s="808"/>
      <c r="BS347" s="808"/>
      <c r="BT347" s="808"/>
      <c r="BU347" s="808"/>
      <c r="BV347" s="808"/>
      <c r="BW347" s="808"/>
      <c r="BX347" s="808"/>
      <c r="BY347" s="808"/>
      <c r="BZ347" s="808"/>
      <c r="CA347" s="808"/>
      <c r="CB347" s="808"/>
      <c r="CC347" s="808"/>
      <c r="CD347" s="808"/>
      <c r="CE347" s="808"/>
      <c r="CF347" s="808"/>
      <c r="CG347" s="808"/>
      <c r="CH347" s="808"/>
      <c r="CI347" s="808"/>
      <c r="CJ347" s="808"/>
      <c r="CK347" s="808"/>
      <c r="CL347" s="808"/>
      <c r="CM347" s="808"/>
      <c r="CN347" s="808"/>
      <c r="CO347" s="808"/>
      <c r="CP347" s="808"/>
      <c r="CQ347" s="808"/>
      <c r="CR347" s="808"/>
      <c r="CS347" s="808"/>
      <c r="CT347" s="808"/>
      <c r="CU347" s="808"/>
      <c r="CV347" s="808"/>
      <c r="CW347" s="808"/>
      <c r="CX347" s="808"/>
      <c r="CY347" s="808"/>
      <c r="CZ347" s="808"/>
      <c r="DA347" s="808"/>
      <c r="DB347" s="808"/>
      <c r="DC347" s="808"/>
      <c r="DD347" s="808"/>
      <c r="DE347" s="808"/>
      <c r="DF347" s="808"/>
      <c r="DG347" s="808"/>
      <c r="DH347" s="808"/>
      <c r="DI347" s="808"/>
      <c r="DJ347" s="808"/>
      <c r="DK347" s="808"/>
      <c r="DL347" s="808"/>
      <c r="DM347" s="808"/>
      <c r="DN347" s="808"/>
      <c r="DO347" s="808"/>
      <c r="DP347" s="808"/>
    </row>
    <row r="348" spans="1:120">
      <c r="A348" s="821"/>
      <c r="B348" s="813" t="s">
        <v>1220</v>
      </c>
      <c r="C348" s="814" t="s">
        <v>438</v>
      </c>
      <c r="D348" s="815" t="s">
        <v>1367</v>
      </c>
      <c r="E348" s="815" t="s">
        <v>1201</v>
      </c>
      <c r="F348" s="815" t="s">
        <v>1201</v>
      </c>
      <c r="G348" s="815" t="s">
        <v>1201</v>
      </c>
      <c r="K348" s="808"/>
      <c r="M348" s="808"/>
      <c r="N348" s="808"/>
      <c r="O348" s="808"/>
      <c r="P348" s="808"/>
      <c r="Q348" s="808"/>
      <c r="R348" s="808"/>
      <c r="S348" s="808"/>
      <c r="T348" s="808"/>
      <c r="U348" s="808"/>
      <c r="V348" s="808"/>
      <c r="W348" s="808"/>
      <c r="X348" s="808"/>
      <c r="Y348" s="808"/>
      <c r="Z348" s="808"/>
      <c r="AA348" s="808"/>
      <c r="AB348" s="808"/>
      <c r="AC348" s="808"/>
      <c r="AD348" s="808"/>
      <c r="AE348" s="808"/>
      <c r="AF348" s="808"/>
      <c r="AG348" s="808"/>
      <c r="AH348" s="808"/>
      <c r="AI348" s="808"/>
      <c r="AJ348" s="808"/>
      <c r="AK348" s="808"/>
      <c r="AL348" s="808"/>
      <c r="AM348" s="808"/>
      <c r="AN348" s="808"/>
      <c r="AO348" s="808"/>
      <c r="AP348" s="808"/>
      <c r="AQ348" s="808"/>
      <c r="AR348" s="808"/>
      <c r="AS348" s="808"/>
      <c r="AT348" s="808"/>
      <c r="AU348" s="808"/>
      <c r="AV348" s="808"/>
      <c r="AW348" s="808"/>
      <c r="AX348" s="808"/>
      <c r="AY348" s="808"/>
      <c r="AZ348" s="808"/>
      <c r="BA348" s="808"/>
      <c r="BB348" s="808"/>
      <c r="BC348" s="808"/>
      <c r="BD348" s="808"/>
      <c r="BE348" s="808"/>
      <c r="BF348" s="808"/>
      <c r="BG348" s="808"/>
      <c r="BH348" s="808"/>
      <c r="BI348" s="808"/>
      <c r="BJ348" s="808"/>
      <c r="BK348" s="808"/>
      <c r="BL348" s="808"/>
      <c r="BM348" s="808"/>
      <c r="BN348" s="808"/>
      <c r="BO348" s="808"/>
      <c r="BP348" s="808"/>
      <c r="BQ348" s="808"/>
      <c r="BR348" s="808"/>
      <c r="BS348" s="808"/>
      <c r="BT348" s="808"/>
      <c r="BU348" s="808"/>
      <c r="BV348" s="808"/>
      <c r="BW348" s="808"/>
      <c r="BX348" s="808"/>
      <c r="BY348" s="808"/>
      <c r="BZ348" s="808"/>
      <c r="CA348" s="808"/>
      <c r="CB348" s="808"/>
      <c r="CC348" s="808"/>
      <c r="CD348" s="808"/>
      <c r="CE348" s="808"/>
      <c r="CF348" s="808"/>
      <c r="CG348" s="808"/>
      <c r="CH348" s="808"/>
      <c r="CI348" s="808"/>
      <c r="CJ348" s="808"/>
      <c r="CK348" s="808"/>
      <c r="CL348" s="808"/>
      <c r="CM348" s="808"/>
      <c r="CN348" s="808"/>
      <c r="CO348" s="808"/>
      <c r="CP348" s="808"/>
      <c r="CQ348" s="808"/>
      <c r="CR348" s="808"/>
      <c r="CS348" s="808"/>
      <c r="CT348" s="808"/>
      <c r="CU348" s="808"/>
      <c r="CV348" s="808"/>
      <c r="CW348" s="808"/>
      <c r="CX348" s="808"/>
      <c r="CY348" s="808"/>
      <c r="CZ348" s="808"/>
      <c r="DA348" s="808"/>
      <c r="DB348" s="808"/>
      <c r="DC348" s="808"/>
      <c r="DD348" s="808"/>
      <c r="DE348" s="808"/>
      <c r="DF348" s="808"/>
      <c r="DG348" s="808"/>
      <c r="DH348" s="808"/>
      <c r="DI348" s="808"/>
      <c r="DJ348" s="808"/>
      <c r="DK348" s="808"/>
      <c r="DL348" s="808"/>
      <c r="DM348" s="808"/>
      <c r="DN348" s="808"/>
      <c r="DO348" s="808"/>
      <c r="DP348" s="808"/>
    </row>
    <row r="349" spans="1:120">
      <c r="A349" s="821"/>
      <c r="B349" s="813" t="s">
        <v>1206</v>
      </c>
      <c r="C349" s="814" t="s">
        <v>1368</v>
      </c>
      <c r="D349" s="815" t="s">
        <v>1369</v>
      </c>
      <c r="E349" s="815" t="s">
        <v>1201</v>
      </c>
      <c r="F349" s="815" t="s">
        <v>1201</v>
      </c>
      <c r="G349" s="815" t="s">
        <v>1201</v>
      </c>
      <c r="K349" s="808"/>
      <c r="M349" s="808"/>
      <c r="N349" s="808"/>
      <c r="O349" s="808"/>
      <c r="P349" s="808"/>
      <c r="Q349" s="808"/>
      <c r="R349" s="808"/>
      <c r="S349" s="808"/>
      <c r="T349" s="808"/>
      <c r="U349" s="808"/>
      <c r="V349" s="808"/>
      <c r="W349" s="808"/>
      <c r="X349" s="808"/>
      <c r="Y349" s="808"/>
      <c r="Z349" s="808"/>
      <c r="AA349" s="808"/>
      <c r="AB349" s="808"/>
      <c r="AC349" s="808"/>
      <c r="AD349" s="808"/>
      <c r="AE349" s="808"/>
      <c r="AF349" s="808"/>
      <c r="AG349" s="808"/>
      <c r="AH349" s="808"/>
      <c r="AI349" s="808"/>
      <c r="AJ349" s="808"/>
      <c r="AK349" s="808"/>
      <c r="AL349" s="808"/>
      <c r="AM349" s="808"/>
      <c r="AN349" s="808"/>
      <c r="AO349" s="808"/>
      <c r="AP349" s="808"/>
      <c r="AQ349" s="808"/>
      <c r="AR349" s="808"/>
      <c r="AS349" s="808"/>
      <c r="AT349" s="808"/>
      <c r="AU349" s="808"/>
      <c r="AV349" s="808"/>
      <c r="AW349" s="808"/>
      <c r="AX349" s="808"/>
      <c r="AY349" s="808"/>
      <c r="AZ349" s="808"/>
      <c r="BA349" s="808"/>
      <c r="BB349" s="808"/>
      <c r="BC349" s="808"/>
      <c r="BD349" s="808"/>
      <c r="BE349" s="808"/>
      <c r="BF349" s="808"/>
      <c r="BG349" s="808"/>
      <c r="BH349" s="808"/>
      <c r="BI349" s="808"/>
      <c r="BJ349" s="808"/>
      <c r="BK349" s="808"/>
      <c r="BL349" s="808"/>
      <c r="BM349" s="808"/>
      <c r="BN349" s="808"/>
      <c r="BO349" s="808"/>
      <c r="BP349" s="808"/>
      <c r="BQ349" s="808"/>
      <c r="BR349" s="808"/>
      <c r="BS349" s="808"/>
      <c r="BT349" s="808"/>
      <c r="BU349" s="808"/>
      <c r="BV349" s="808"/>
      <c r="BW349" s="808"/>
      <c r="BX349" s="808"/>
      <c r="BY349" s="808"/>
      <c r="BZ349" s="808"/>
      <c r="CA349" s="808"/>
      <c r="CB349" s="808"/>
      <c r="CC349" s="808"/>
      <c r="CD349" s="808"/>
      <c r="CE349" s="808"/>
      <c r="CF349" s="808"/>
      <c r="CG349" s="808"/>
      <c r="CH349" s="808"/>
      <c r="CI349" s="808"/>
      <c r="CJ349" s="808"/>
      <c r="CK349" s="808"/>
      <c r="CL349" s="808"/>
      <c r="CM349" s="808"/>
      <c r="CN349" s="808"/>
      <c r="CO349" s="808"/>
      <c r="CP349" s="808"/>
      <c r="CQ349" s="808"/>
      <c r="CR349" s="808"/>
      <c r="CS349" s="808"/>
      <c r="CT349" s="808"/>
      <c r="CU349" s="808"/>
      <c r="CV349" s="808"/>
      <c r="CW349" s="808"/>
      <c r="CX349" s="808"/>
      <c r="CY349" s="808"/>
      <c r="CZ349" s="808"/>
      <c r="DA349" s="808"/>
      <c r="DB349" s="808"/>
      <c r="DC349" s="808"/>
      <c r="DD349" s="808"/>
      <c r="DE349" s="808"/>
      <c r="DF349" s="808"/>
      <c r="DG349" s="808"/>
      <c r="DH349" s="808"/>
      <c r="DI349" s="808"/>
      <c r="DJ349" s="808"/>
      <c r="DK349" s="808"/>
      <c r="DL349" s="808"/>
      <c r="DM349" s="808"/>
      <c r="DN349" s="808"/>
      <c r="DO349" s="808"/>
      <c r="DP349" s="808"/>
    </row>
    <row r="350" spans="1:120">
      <c r="A350" s="821"/>
      <c r="B350" s="813" t="s">
        <v>1273</v>
      </c>
      <c r="C350" s="814" t="s">
        <v>440</v>
      </c>
      <c r="D350" s="815" t="s">
        <v>1370</v>
      </c>
      <c r="E350" s="815" t="s">
        <v>1201</v>
      </c>
      <c r="F350" s="815" t="s">
        <v>1201</v>
      </c>
      <c r="G350" s="815" t="s">
        <v>1201</v>
      </c>
      <c r="K350" s="808"/>
      <c r="M350" s="808"/>
      <c r="N350" s="808"/>
      <c r="O350" s="808"/>
      <c r="P350" s="808"/>
      <c r="Q350" s="808"/>
      <c r="R350" s="808"/>
      <c r="S350" s="808"/>
      <c r="T350" s="808"/>
      <c r="U350" s="808"/>
      <c r="V350" s="808"/>
      <c r="W350" s="808"/>
      <c r="X350" s="808"/>
      <c r="Y350" s="808"/>
      <c r="Z350" s="808"/>
      <c r="AA350" s="808"/>
      <c r="AB350" s="808"/>
      <c r="AC350" s="808"/>
      <c r="AD350" s="808"/>
      <c r="AE350" s="808"/>
      <c r="AF350" s="808"/>
      <c r="AG350" s="808"/>
      <c r="AH350" s="808"/>
      <c r="AI350" s="808"/>
      <c r="AJ350" s="808"/>
      <c r="AK350" s="808"/>
      <c r="AL350" s="808"/>
      <c r="AM350" s="808"/>
      <c r="AN350" s="808"/>
      <c r="AO350" s="808"/>
      <c r="AP350" s="808"/>
      <c r="AQ350" s="808"/>
      <c r="AR350" s="808"/>
      <c r="AS350" s="808"/>
      <c r="AT350" s="808"/>
      <c r="AU350" s="808"/>
      <c r="AV350" s="808"/>
      <c r="AW350" s="808"/>
      <c r="AX350" s="808"/>
      <c r="AY350" s="808"/>
      <c r="AZ350" s="808"/>
      <c r="BA350" s="808"/>
      <c r="BB350" s="808"/>
      <c r="BC350" s="808"/>
      <c r="BD350" s="808"/>
      <c r="BE350" s="808"/>
      <c r="BF350" s="808"/>
      <c r="BG350" s="808"/>
      <c r="BH350" s="808"/>
      <c r="BI350" s="808"/>
      <c r="BJ350" s="808"/>
      <c r="BK350" s="808"/>
      <c r="BL350" s="808"/>
      <c r="BM350" s="808"/>
      <c r="BN350" s="808"/>
      <c r="BO350" s="808"/>
      <c r="BP350" s="808"/>
      <c r="BQ350" s="808"/>
      <c r="BR350" s="808"/>
      <c r="BS350" s="808"/>
      <c r="BT350" s="808"/>
      <c r="BU350" s="808"/>
      <c r="BV350" s="808"/>
      <c r="BW350" s="808"/>
      <c r="BX350" s="808"/>
      <c r="BY350" s="808"/>
      <c r="BZ350" s="808"/>
      <c r="CA350" s="808"/>
      <c r="CB350" s="808"/>
      <c r="CC350" s="808"/>
      <c r="CD350" s="808"/>
      <c r="CE350" s="808"/>
      <c r="CF350" s="808"/>
      <c r="CG350" s="808"/>
      <c r="CH350" s="808"/>
      <c r="CI350" s="808"/>
      <c r="CJ350" s="808"/>
      <c r="CK350" s="808"/>
      <c r="CL350" s="808"/>
      <c r="CM350" s="808"/>
      <c r="CN350" s="808"/>
      <c r="CO350" s="808"/>
      <c r="CP350" s="808"/>
      <c r="CQ350" s="808"/>
      <c r="CR350" s="808"/>
      <c r="CS350" s="808"/>
      <c r="CT350" s="808"/>
      <c r="CU350" s="808"/>
      <c r="CV350" s="808"/>
      <c r="CW350" s="808"/>
      <c r="CX350" s="808"/>
      <c r="CY350" s="808"/>
      <c r="CZ350" s="808"/>
      <c r="DA350" s="808"/>
      <c r="DB350" s="808"/>
      <c r="DC350" s="808"/>
      <c r="DD350" s="808"/>
      <c r="DE350" s="808"/>
      <c r="DF350" s="808"/>
      <c r="DG350" s="808"/>
      <c r="DH350" s="808"/>
      <c r="DI350" s="808"/>
      <c r="DJ350" s="808"/>
      <c r="DK350" s="808"/>
      <c r="DL350" s="808"/>
      <c r="DM350" s="808"/>
      <c r="DN350" s="808"/>
      <c r="DO350" s="808"/>
      <c r="DP350" s="808"/>
    </row>
    <row r="351" spans="1:120">
      <c r="A351" s="821" t="s">
        <v>1201</v>
      </c>
      <c r="B351" s="807" t="s">
        <v>1201</v>
      </c>
      <c r="C351" s="808" t="s">
        <v>1201</v>
      </c>
      <c r="D351" s="214" t="s">
        <v>1201</v>
      </c>
      <c r="K351" s="808"/>
      <c r="M351" s="808"/>
      <c r="N351" s="808"/>
      <c r="O351" s="808"/>
      <c r="P351" s="808"/>
      <c r="Q351" s="808"/>
      <c r="R351" s="808"/>
      <c r="S351" s="808"/>
      <c r="T351" s="808"/>
      <c r="U351" s="808"/>
      <c r="V351" s="808"/>
      <c r="W351" s="808"/>
      <c r="X351" s="808"/>
      <c r="Y351" s="808"/>
      <c r="Z351" s="808"/>
      <c r="AA351" s="808"/>
      <c r="AB351" s="808"/>
      <c r="AC351" s="808"/>
      <c r="AD351" s="808"/>
      <c r="AE351" s="808"/>
      <c r="AF351" s="808"/>
      <c r="AG351" s="808"/>
      <c r="AH351" s="808"/>
      <c r="AI351" s="808"/>
      <c r="AJ351" s="808"/>
      <c r="AK351" s="808"/>
      <c r="AL351" s="808"/>
      <c r="AM351" s="808"/>
      <c r="AN351" s="808"/>
      <c r="AO351" s="808"/>
      <c r="AP351" s="808"/>
      <c r="AQ351" s="808"/>
      <c r="AR351" s="808"/>
      <c r="AS351" s="808"/>
      <c r="AT351" s="808"/>
      <c r="AU351" s="808"/>
      <c r="AV351" s="808"/>
      <c r="AW351" s="808"/>
      <c r="AX351" s="808"/>
      <c r="AY351" s="808"/>
      <c r="AZ351" s="808"/>
      <c r="BA351" s="808"/>
      <c r="BB351" s="808"/>
      <c r="BC351" s="808"/>
      <c r="BD351" s="808"/>
      <c r="BE351" s="808"/>
      <c r="BF351" s="808"/>
      <c r="BG351" s="808"/>
      <c r="BH351" s="808"/>
      <c r="BI351" s="808"/>
      <c r="BJ351" s="808"/>
      <c r="BK351" s="808"/>
      <c r="BL351" s="808"/>
      <c r="BM351" s="808"/>
      <c r="BN351" s="808"/>
      <c r="BO351" s="808"/>
      <c r="BP351" s="984"/>
      <c r="BQ351" s="984"/>
      <c r="BR351" s="984"/>
      <c r="BS351" s="984"/>
      <c r="BT351" s="984"/>
      <c r="BU351" s="984"/>
      <c r="BV351" s="984"/>
      <c r="BW351" s="984"/>
      <c r="BX351" s="984"/>
      <c r="BY351" s="984"/>
      <c r="BZ351" s="984"/>
      <c r="CA351" s="984"/>
      <c r="CB351" s="984"/>
      <c r="CC351" s="984"/>
      <c r="CD351" s="984"/>
      <c r="CE351" s="984"/>
      <c r="CF351" s="984"/>
      <c r="CG351" s="984"/>
      <c r="CH351" s="984"/>
      <c r="CI351" s="984"/>
      <c r="CJ351" s="984"/>
      <c r="CK351" s="984"/>
      <c r="CL351" s="984"/>
      <c r="CM351" s="984"/>
      <c r="CN351" s="984"/>
      <c r="CO351" s="984"/>
      <c r="CP351" s="984"/>
      <c r="CQ351" s="984"/>
      <c r="CR351" s="984"/>
      <c r="CS351" s="984"/>
      <c r="CT351" s="984"/>
      <c r="CU351" s="984"/>
      <c r="CV351" s="984"/>
      <c r="CW351" s="984"/>
      <c r="CX351" s="984"/>
      <c r="CY351" s="984"/>
      <c r="CZ351" s="984"/>
      <c r="DA351" s="984"/>
      <c r="DB351" s="984"/>
      <c r="DC351" s="984"/>
      <c r="DD351" s="984"/>
      <c r="DE351" s="984"/>
      <c r="DF351" s="984"/>
      <c r="DG351" s="984"/>
      <c r="DH351" s="984"/>
      <c r="DI351" s="984"/>
      <c r="DJ351" s="984"/>
      <c r="DK351" s="984"/>
      <c r="DL351" s="984"/>
      <c r="DM351" s="984"/>
      <c r="DN351" s="984"/>
      <c r="DO351" s="984"/>
      <c r="DP351" s="984"/>
    </row>
    <row r="352" spans="1:120" hidden="1">
      <c r="A352" s="821"/>
      <c r="B352" s="809"/>
      <c r="C352" s="809" t="s">
        <v>1371</v>
      </c>
      <c r="K352" s="808"/>
      <c r="M352" s="808"/>
      <c r="N352" s="808"/>
      <c r="O352" s="808"/>
      <c r="P352" s="808"/>
      <c r="Q352" s="808"/>
      <c r="R352" s="808"/>
      <c r="S352" s="808"/>
      <c r="T352" s="808"/>
      <c r="U352" s="808"/>
      <c r="V352" s="808"/>
      <c r="W352" s="808"/>
      <c r="X352" s="808"/>
      <c r="Y352" s="808"/>
      <c r="Z352" s="808"/>
      <c r="AA352" s="808"/>
      <c r="AB352" s="808"/>
      <c r="AC352" s="808"/>
      <c r="AD352" s="808"/>
      <c r="AE352" s="808"/>
      <c r="AF352" s="808"/>
      <c r="AG352" s="808"/>
      <c r="AH352" s="808"/>
      <c r="AI352" s="808"/>
      <c r="AJ352" s="808"/>
      <c r="AK352" s="808"/>
      <c r="AL352" s="808"/>
      <c r="AM352" s="808"/>
      <c r="AN352" s="808"/>
      <c r="AO352" s="808"/>
      <c r="AP352" s="808"/>
      <c r="AQ352" s="808"/>
      <c r="AR352" s="808"/>
      <c r="AS352" s="808"/>
      <c r="AT352" s="808"/>
      <c r="AU352" s="808"/>
      <c r="AV352" s="808"/>
      <c r="AW352" s="808"/>
      <c r="AX352" s="808"/>
      <c r="AY352" s="808"/>
      <c r="AZ352" s="808"/>
      <c r="BA352" s="808"/>
      <c r="BB352" s="808"/>
      <c r="BC352" s="808"/>
      <c r="BD352" s="808"/>
      <c r="BE352" s="808"/>
      <c r="BF352" s="808"/>
      <c r="BG352" s="808"/>
      <c r="BH352" s="808"/>
      <c r="BI352" s="808"/>
      <c r="BJ352" s="808"/>
      <c r="BK352" s="808"/>
      <c r="BL352" s="808"/>
      <c r="BM352" s="808"/>
      <c r="BN352" s="808"/>
      <c r="BO352" s="808"/>
      <c r="BP352" s="808"/>
      <c r="BQ352" s="808"/>
      <c r="BR352" s="808"/>
      <c r="BS352" s="808"/>
      <c r="BT352" s="808"/>
      <c r="BU352" s="808"/>
      <c r="BV352" s="808"/>
      <c r="BW352" s="808"/>
      <c r="BX352" s="808"/>
      <c r="BY352" s="808"/>
      <c r="BZ352" s="808"/>
      <c r="CA352" s="808"/>
      <c r="CB352" s="808"/>
      <c r="CC352" s="808"/>
      <c r="CD352" s="808"/>
      <c r="CE352" s="808"/>
      <c r="CF352" s="808"/>
      <c r="CG352" s="808"/>
      <c r="CH352" s="808"/>
      <c r="CI352" s="808"/>
      <c r="CJ352" s="808"/>
      <c r="CK352" s="808"/>
      <c r="CL352" s="808"/>
      <c r="CM352" s="808"/>
      <c r="CN352" s="808"/>
      <c r="CO352" s="808"/>
      <c r="CP352" s="808"/>
      <c r="CQ352" s="808"/>
      <c r="CR352" s="808"/>
      <c r="CS352" s="808"/>
      <c r="CT352" s="808"/>
      <c r="CU352" s="808"/>
      <c r="CV352" s="808"/>
      <c r="CW352" s="808"/>
      <c r="CX352" s="808"/>
      <c r="CY352" s="808"/>
      <c r="CZ352" s="808"/>
      <c r="DA352" s="808"/>
      <c r="DB352" s="808"/>
      <c r="DC352" s="808"/>
      <c r="DD352" s="808"/>
      <c r="DE352" s="808"/>
      <c r="DF352" s="808"/>
      <c r="DG352" s="808"/>
      <c r="DH352" s="808"/>
      <c r="DI352" s="808"/>
      <c r="DJ352" s="808"/>
      <c r="DK352" s="808"/>
      <c r="DL352" s="808"/>
      <c r="DM352" s="808"/>
      <c r="DN352" s="808"/>
      <c r="DO352" s="808"/>
      <c r="DP352" s="808"/>
    </row>
    <row r="353" spans="1:120" hidden="1">
      <c r="A353" s="821"/>
      <c r="B353" s="807"/>
      <c r="C353" s="808"/>
      <c r="E353" s="810" t="s">
        <v>1203</v>
      </c>
      <c r="K353" s="808"/>
      <c r="M353" s="808"/>
      <c r="N353" s="808"/>
      <c r="O353" s="808"/>
      <c r="P353" s="808"/>
      <c r="Q353" s="808"/>
      <c r="R353" s="808"/>
      <c r="S353" s="808"/>
      <c r="T353" s="808"/>
      <c r="U353" s="808"/>
      <c r="V353" s="808"/>
      <c r="W353" s="808"/>
      <c r="X353" s="808"/>
      <c r="Y353" s="808"/>
      <c r="Z353" s="808"/>
      <c r="AA353" s="808"/>
      <c r="AB353" s="808"/>
      <c r="AC353" s="808"/>
      <c r="AD353" s="808"/>
      <c r="AE353" s="808"/>
      <c r="AF353" s="808"/>
      <c r="AG353" s="808"/>
      <c r="AH353" s="808"/>
      <c r="AI353" s="808"/>
      <c r="AJ353" s="808"/>
      <c r="AK353" s="808"/>
      <c r="AL353" s="808"/>
      <c r="AM353" s="808"/>
      <c r="AN353" s="808"/>
      <c r="AO353" s="808"/>
      <c r="AP353" s="808"/>
      <c r="AQ353" s="808"/>
      <c r="AR353" s="808"/>
      <c r="AS353" s="808"/>
      <c r="AT353" s="808"/>
      <c r="AU353" s="808"/>
      <c r="AV353" s="808"/>
      <c r="AW353" s="808"/>
      <c r="AX353" s="808"/>
      <c r="AY353" s="808"/>
      <c r="AZ353" s="808"/>
      <c r="BA353" s="808"/>
      <c r="BB353" s="808"/>
      <c r="BC353" s="808"/>
      <c r="BD353" s="808"/>
      <c r="BE353" s="808"/>
      <c r="BF353" s="808"/>
      <c r="BG353" s="808"/>
      <c r="BH353" s="808"/>
      <c r="BI353" s="808"/>
      <c r="BJ353" s="808"/>
      <c r="BK353" s="808"/>
      <c r="BL353" s="808"/>
      <c r="BM353" s="808"/>
      <c r="BN353" s="808"/>
      <c r="BO353" s="808"/>
      <c r="BP353" s="808"/>
      <c r="BQ353" s="808"/>
      <c r="BR353" s="808"/>
      <c r="BS353" s="808"/>
      <c r="BT353" s="808"/>
      <c r="BU353" s="808"/>
      <c r="BV353" s="808"/>
      <c r="BW353" s="808"/>
      <c r="BX353" s="808"/>
      <c r="BY353" s="808"/>
      <c r="BZ353" s="808"/>
      <c r="CA353" s="808"/>
      <c r="CB353" s="808"/>
      <c r="CC353" s="808"/>
      <c r="CD353" s="808"/>
      <c r="CE353" s="808"/>
      <c r="CF353" s="808"/>
      <c r="CG353" s="808"/>
      <c r="CH353" s="808"/>
      <c r="CI353" s="808"/>
      <c r="CJ353" s="808"/>
      <c r="CK353" s="808"/>
      <c r="CL353" s="808"/>
      <c r="CM353" s="808"/>
      <c r="CN353" s="808"/>
      <c r="CO353" s="808"/>
      <c r="CP353" s="808"/>
      <c r="CQ353" s="808"/>
      <c r="CR353" s="808"/>
      <c r="CS353" s="808"/>
      <c r="CT353" s="808"/>
      <c r="CU353" s="808"/>
      <c r="CV353" s="808"/>
      <c r="CW353" s="808"/>
      <c r="CX353" s="808"/>
      <c r="CY353" s="808"/>
      <c r="CZ353" s="808"/>
      <c r="DA353" s="808"/>
      <c r="DB353" s="808"/>
      <c r="DC353" s="808"/>
      <c r="DD353" s="808"/>
      <c r="DE353" s="808"/>
      <c r="DF353" s="808"/>
      <c r="DG353" s="808"/>
      <c r="DH353" s="808"/>
      <c r="DI353" s="808"/>
      <c r="DJ353" s="808"/>
      <c r="DK353" s="808"/>
      <c r="DL353" s="808"/>
      <c r="DM353" s="808"/>
      <c r="DN353" s="808"/>
      <c r="DO353" s="808"/>
      <c r="DP353" s="808"/>
    </row>
    <row r="354" spans="1:120" hidden="1">
      <c r="A354" s="821"/>
      <c r="B354" s="811" t="s">
        <v>79</v>
      </c>
      <c r="C354" s="811" t="s">
        <v>5</v>
      </c>
      <c r="D354" s="812" t="s">
        <v>194</v>
      </c>
      <c r="E354" s="812" t="s">
        <v>195</v>
      </c>
      <c r="K354" s="808"/>
      <c r="M354" s="808"/>
      <c r="N354" s="808"/>
      <c r="O354" s="808"/>
      <c r="P354" s="808"/>
      <c r="Q354" s="808"/>
      <c r="R354" s="808"/>
      <c r="S354" s="808"/>
      <c r="T354" s="808"/>
      <c r="U354" s="808"/>
      <c r="V354" s="808"/>
      <c r="W354" s="808"/>
      <c r="X354" s="808"/>
      <c r="Y354" s="808"/>
      <c r="Z354" s="808"/>
      <c r="AA354" s="808"/>
      <c r="AB354" s="808"/>
      <c r="AC354" s="808"/>
      <c r="AD354" s="808"/>
      <c r="AE354" s="808"/>
      <c r="AF354" s="808"/>
      <c r="AG354" s="808"/>
      <c r="AH354" s="808"/>
      <c r="AI354" s="808"/>
      <c r="AJ354" s="808"/>
      <c r="AK354" s="808"/>
      <c r="AL354" s="808"/>
      <c r="AM354" s="808"/>
      <c r="AN354" s="808"/>
      <c r="AO354" s="808"/>
      <c r="AP354" s="808"/>
      <c r="AQ354" s="808"/>
      <c r="AR354" s="808"/>
      <c r="AS354" s="808"/>
      <c r="AT354" s="808"/>
      <c r="AU354" s="808"/>
      <c r="AV354" s="808"/>
      <c r="AW354" s="808"/>
      <c r="AX354" s="808"/>
      <c r="AY354" s="808"/>
      <c r="AZ354" s="808"/>
      <c r="BA354" s="808"/>
      <c r="BB354" s="808"/>
      <c r="BC354" s="808"/>
      <c r="BD354" s="808"/>
      <c r="BE354" s="808"/>
      <c r="BF354" s="808"/>
      <c r="BG354" s="808"/>
      <c r="BH354" s="808"/>
      <c r="BI354" s="808"/>
      <c r="BJ354" s="808"/>
      <c r="BK354" s="808"/>
      <c r="BL354" s="808"/>
      <c r="BM354" s="808"/>
      <c r="BN354" s="808"/>
      <c r="BO354" s="808"/>
      <c r="BP354" s="808"/>
      <c r="BQ354" s="808"/>
      <c r="BR354" s="808"/>
      <c r="BS354" s="808"/>
      <c r="BT354" s="808"/>
      <c r="BU354" s="808"/>
      <c r="BV354" s="808"/>
      <c r="BW354" s="808"/>
      <c r="BX354" s="808"/>
      <c r="BY354" s="808"/>
      <c r="BZ354" s="808"/>
      <c r="CA354" s="808"/>
      <c r="CB354" s="808"/>
      <c r="CC354" s="808"/>
      <c r="CD354" s="808"/>
      <c r="CE354" s="808"/>
      <c r="CF354" s="808"/>
      <c r="CG354" s="808"/>
      <c r="CH354" s="808"/>
      <c r="CI354" s="808"/>
      <c r="CJ354" s="808"/>
      <c r="CK354" s="808"/>
      <c r="CL354" s="808"/>
      <c r="CM354" s="808"/>
      <c r="CN354" s="808"/>
      <c r="CO354" s="808"/>
      <c r="CP354" s="808"/>
      <c r="CQ354" s="808"/>
      <c r="CR354" s="808"/>
      <c r="CS354" s="808"/>
      <c r="CT354" s="808"/>
      <c r="CU354" s="808"/>
      <c r="CV354" s="808"/>
      <c r="CW354" s="808"/>
      <c r="CX354" s="808"/>
      <c r="CY354" s="808"/>
      <c r="CZ354" s="808"/>
      <c r="DA354" s="808"/>
      <c r="DB354" s="808"/>
      <c r="DC354" s="808"/>
      <c r="DD354" s="808"/>
      <c r="DE354" s="808"/>
      <c r="DF354" s="808"/>
      <c r="DG354" s="808"/>
      <c r="DH354" s="808"/>
      <c r="DI354" s="808"/>
      <c r="DJ354" s="808"/>
      <c r="DK354" s="808"/>
      <c r="DL354" s="808"/>
      <c r="DM354" s="808"/>
      <c r="DN354" s="808"/>
      <c r="DO354" s="808"/>
      <c r="DP354" s="808"/>
    </row>
    <row r="355" spans="1:120" hidden="1">
      <c r="A355" s="821"/>
      <c r="B355" s="813" t="s">
        <v>1220</v>
      </c>
      <c r="C355" s="814" t="s">
        <v>1372</v>
      </c>
      <c r="D355" s="815">
        <v>0</v>
      </c>
      <c r="E355" s="815">
        <v>0</v>
      </c>
      <c r="K355" s="808"/>
      <c r="M355" s="808"/>
      <c r="N355" s="808"/>
      <c r="O355" s="808"/>
      <c r="P355" s="808"/>
      <c r="Q355" s="808"/>
      <c r="R355" s="808"/>
      <c r="S355" s="808"/>
      <c r="T355" s="808"/>
      <c r="U355" s="808"/>
      <c r="V355" s="808"/>
      <c r="W355" s="808"/>
      <c r="X355" s="808"/>
      <c r="Y355" s="808"/>
      <c r="Z355" s="808"/>
      <c r="AA355" s="808"/>
      <c r="AB355" s="808"/>
      <c r="AC355" s="808"/>
      <c r="AD355" s="808"/>
      <c r="AE355" s="808"/>
      <c r="AF355" s="808"/>
      <c r="AG355" s="808"/>
      <c r="AH355" s="808"/>
      <c r="AI355" s="808"/>
      <c r="AJ355" s="808"/>
      <c r="AK355" s="808"/>
      <c r="AL355" s="808"/>
      <c r="AM355" s="808"/>
      <c r="AN355" s="808"/>
      <c r="AO355" s="808"/>
      <c r="AP355" s="808"/>
      <c r="AQ355" s="808"/>
      <c r="AR355" s="808"/>
      <c r="AS355" s="808"/>
      <c r="AT355" s="808"/>
      <c r="AU355" s="808"/>
      <c r="AV355" s="808"/>
      <c r="AW355" s="808"/>
      <c r="AX355" s="808"/>
      <c r="AY355" s="808"/>
      <c r="AZ355" s="808"/>
      <c r="BA355" s="808"/>
      <c r="BB355" s="808"/>
      <c r="BC355" s="808"/>
      <c r="BD355" s="808"/>
      <c r="BE355" s="808"/>
      <c r="BF355" s="808"/>
      <c r="BG355" s="808"/>
      <c r="BH355" s="808"/>
      <c r="BI355" s="808"/>
      <c r="BJ355" s="808"/>
      <c r="BK355" s="808"/>
      <c r="BL355" s="808"/>
      <c r="BM355" s="808"/>
      <c r="BN355" s="808"/>
      <c r="BO355" s="808"/>
      <c r="BP355" s="808"/>
      <c r="BQ355" s="808"/>
      <c r="BR355" s="808"/>
      <c r="BS355" s="808"/>
      <c r="BT355" s="808"/>
      <c r="BU355" s="808"/>
      <c r="BV355" s="808"/>
      <c r="BW355" s="808"/>
      <c r="BX355" s="808"/>
      <c r="BY355" s="808"/>
      <c r="BZ355" s="808"/>
      <c r="CA355" s="808"/>
      <c r="CB355" s="808"/>
      <c r="CC355" s="808"/>
      <c r="CD355" s="808"/>
      <c r="CE355" s="808"/>
      <c r="CF355" s="808"/>
      <c r="CG355" s="808"/>
      <c r="CH355" s="808"/>
      <c r="CI355" s="808"/>
      <c r="CJ355" s="808"/>
      <c r="CK355" s="808"/>
      <c r="CL355" s="808"/>
      <c r="CM355" s="808"/>
      <c r="CN355" s="808"/>
      <c r="CO355" s="808"/>
      <c r="CP355" s="808"/>
      <c r="CQ355" s="808"/>
      <c r="CR355" s="808"/>
      <c r="CS355" s="808"/>
      <c r="CT355" s="808"/>
      <c r="CU355" s="808"/>
      <c r="CV355" s="808"/>
      <c r="CW355" s="808"/>
      <c r="CX355" s="808"/>
      <c r="CY355" s="808"/>
      <c r="CZ355" s="808"/>
      <c r="DA355" s="808"/>
      <c r="DB355" s="808"/>
      <c r="DC355" s="808"/>
      <c r="DD355" s="808"/>
      <c r="DE355" s="808"/>
      <c r="DF355" s="808"/>
      <c r="DG355" s="808"/>
      <c r="DH355" s="808"/>
      <c r="DI355" s="808"/>
      <c r="DJ355" s="808"/>
      <c r="DK355" s="808"/>
      <c r="DL355" s="808"/>
      <c r="DM355" s="808"/>
      <c r="DN355" s="808"/>
      <c r="DO355" s="808"/>
      <c r="DP355" s="808"/>
    </row>
    <row r="356" spans="1:120" hidden="1">
      <c r="A356" s="821"/>
      <c r="B356" s="813" t="s">
        <v>1206</v>
      </c>
      <c r="C356" s="814" t="s">
        <v>1373</v>
      </c>
      <c r="D356" s="815">
        <v>0</v>
      </c>
      <c r="E356" s="815">
        <v>0</v>
      </c>
      <c r="K356" s="808"/>
      <c r="M356" s="808"/>
      <c r="N356" s="808"/>
      <c r="O356" s="808"/>
      <c r="P356" s="808"/>
      <c r="Q356" s="808"/>
      <c r="R356" s="808"/>
      <c r="S356" s="808"/>
      <c r="T356" s="808"/>
      <c r="U356" s="808"/>
      <c r="V356" s="808"/>
      <c r="W356" s="808"/>
      <c r="X356" s="808"/>
      <c r="Y356" s="808"/>
      <c r="Z356" s="808"/>
      <c r="AA356" s="808"/>
      <c r="AB356" s="808"/>
      <c r="AC356" s="808"/>
      <c r="AD356" s="808"/>
      <c r="AE356" s="808"/>
      <c r="AF356" s="808"/>
      <c r="AG356" s="808"/>
      <c r="AH356" s="808"/>
      <c r="AI356" s="808"/>
      <c r="AJ356" s="808"/>
      <c r="AK356" s="808"/>
      <c r="AL356" s="808"/>
      <c r="AM356" s="808"/>
      <c r="AN356" s="808"/>
      <c r="AO356" s="808"/>
      <c r="AP356" s="808"/>
      <c r="AQ356" s="808"/>
      <c r="AR356" s="808"/>
      <c r="AS356" s="808"/>
      <c r="AT356" s="808"/>
      <c r="AU356" s="808"/>
      <c r="AV356" s="808"/>
      <c r="AW356" s="808"/>
      <c r="AX356" s="808"/>
      <c r="AY356" s="808"/>
      <c r="AZ356" s="808"/>
      <c r="BA356" s="808"/>
      <c r="BB356" s="808"/>
      <c r="BC356" s="808"/>
      <c r="BD356" s="808"/>
      <c r="BE356" s="808"/>
      <c r="BF356" s="808"/>
      <c r="BG356" s="808"/>
      <c r="BH356" s="808"/>
      <c r="BI356" s="808"/>
      <c r="BJ356" s="808"/>
      <c r="BK356" s="808"/>
      <c r="BL356" s="808"/>
      <c r="BM356" s="808"/>
      <c r="BN356" s="808"/>
      <c r="BO356" s="808"/>
      <c r="BP356" s="808"/>
      <c r="BQ356" s="808"/>
      <c r="BR356" s="808"/>
      <c r="BS356" s="808"/>
      <c r="BT356" s="808"/>
      <c r="BU356" s="808"/>
      <c r="BV356" s="808"/>
      <c r="BW356" s="808"/>
      <c r="BX356" s="808"/>
      <c r="BY356" s="808"/>
      <c r="BZ356" s="808"/>
      <c r="CA356" s="808"/>
      <c r="CB356" s="808"/>
      <c r="CC356" s="808"/>
      <c r="CD356" s="808"/>
      <c r="CE356" s="808"/>
      <c r="CF356" s="808"/>
      <c r="CG356" s="808"/>
      <c r="CH356" s="808"/>
      <c r="CI356" s="808"/>
      <c r="CJ356" s="808"/>
      <c r="CK356" s="808"/>
      <c r="CL356" s="808"/>
      <c r="CM356" s="808"/>
      <c r="CN356" s="808"/>
      <c r="CO356" s="808"/>
      <c r="CP356" s="808"/>
      <c r="CQ356" s="808"/>
      <c r="CR356" s="808"/>
      <c r="CS356" s="808"/>
      <c r="CT356" s="808"/>
      <c r="CU356" s="808"/>
      <c r="CV356" s="808"/>
      <c r="CW356" s="808"/>
      <c r="CX356" s="808"/>
      <c r="CY356" s="808"/>
      <c r="CZ356" s="808"/>
      <c r="DA356" s="808"/>
      <c r="DB356" s="808"/>
      <c r="DC356" s="808"/>
      <c r="DD356" s="808"/>
      <c r="DE356" s="808"/>
      <c r="DF356" s="808"/>
      <c r="DG356" s="808"/>
      <c r="DH356" s="808"/>
      <c r="DI356" s="808"/>
      <c r="DJ356" s="808"/>
      <c r="DK356" s="808"/>
      <c r="DL356" s="808"/>
      <c r="DM356" s="808"/>
      <c r="DN356" s="808"/>
      <c r="DO356" s="808"/>
      <c r="DP356" s="808"/>
    </row>
    <row r="357" spans="1:120" hidden="1">
      <c r="A357" s="821"/>
      <c r="B357" s="813" t="s">
        <v>1273</v>
      </c>
      <c r="C357" s="814" t="s">
        <v>1374</v>
      </c>
      <c r="D357" s="815">
        <v>0</v>
      </c>
      <c r="E357" s="815">
        <v>0</v>
      </c>
      <c r="K357" s="808"/>
      <c r="M357" s="808"/>
      <c r="N357" s="808"/>
      <c r="O357" s="808"/>
      <c r="P357" s="808"/>
      <c r="Q357" s="808"/>
      <c r="R357" s="808"/>
      <c r="S357" s="808"/>
      <c r="T357" s="808"/>
      <c r="U357" s="808"/>
      <c r="V357" s="808"/>
      <c r="W357" s="808"/>
      <c r="X357" s="808"/>
      <c r="Y357" s="808"/>
      <c r="Z357" s="808"/>
      <c r="AA357" s="808"/>
      <c r="AB357" s="808"/>
      <c r="AC357" s="808"/>
      <c r="AD357" s="808"/>
      <c r="AE357" s="808"/>
      <c r="AF357" s="808"/>
      <c r="AG357" s="808"/>
      <c r="AH357" s="808"/>
      <c r="AI357" s="808"/>
      <c r="AJ357" s="808"/>
      <c r="AK357" s="808"/>
      <c r="AL357" s="808"/>
      <c r="AM357" s="808"/>
      <c r="AN357" s="808"/>
      <c r="AO357" s="808"/>
      <c r="AP357" s="808"/>
      <c r="AQ357" s="808"/>
      <c r="AR357" s="808"/>
      <c r="AS357" s="808"/>
      <c r="AT357" s="808"/>
      <c r="AU357" s="808"/>
      <c r="AV357" s="808"/>
      <c r="AW357" s="808"/>
      <c r="AX357" s="808"/>
      <c r="AY357" s="808"/>
      <c r="AZ357" s="808"/>
      <c r="BA357" s="808"/>
      <c r="BB357" s="808"/>
      <c r="BC357" s="808"/>
      <c r="BD357" s="808"/>
      <c r="BE357" s="808"/>
      <c r="BF357" s="808"/>
      <c r="BG357" s="808"/>
      <c r="BH357" s="808"/>
      <c r="BI357" s="808"/>
      <c r="BJ357" s="808"/>
      <c r="BK357" s="808"/>
      <c r="BL357" s="808"/>
      <c r="BM357" s="808"/>
      <c r="BN357" s="808"/>
      <c r="BO357" s="808"/>
      <c r="BP357" s="808"/>
      <c r="BQ357" s="808"/>
      <c r="BR357" s="808"/>
      <c r="BS357" s="808"/>
      <c r="BT357" s="808"/>
      <c r="BU357" s="808"/>
      <c r="BV357" s="808"/>
      <c r="BW357" s="808"/>
      <c r="BX357" s="808"/>
      <c r="BY357" s="808"/>
      <c r="BZ357" s="808"/>
      <c r="CA357" s="808"/>
      <c r="CB357" s="808"/>
      <c r="CC357" s="808"/>
      <c r="CD357" s="808"/>
      <c r="CE357" s="808"/>
      <c r="CF357" s="808"/>
      <c r="CG357" s="808"/>
      <c r="CH357" s="808"/>
      <c r="CI357" s="808"/>
      <c r="CJ357" s="808"/>
      <c r="CK357" s="808"/>
      <c r="CL357" s="808"/>
      <c r="CM357" s="808"/>
      <c r="CN357" s="808"/>
      <c r="CO357" s="808"/>
      <c r="CP357" s="808"/>
      <c r="CQ357" s="808"/>
      <c r="CR357" s="808"/>
      <c r="CS357" s="808"/>
      <c r="CT357" s="808"/>
      <c r="CU357" s="808"/>
      <c r="CV357" s="808"/>
      <c r="CW357" s="808"/>
      <c r="CX357" s="808"/>
      <c r="CY357" s="808"/>
      <c r="CZ357" s="808"/>
      <c r="DA357" s="808"/>
      <c r="DB357" s="808"/>
      <c r="DC357" s="808"/>
      <c r="DD357" s="808"/>
      <c r="DE357" s="808"/>
      <c r="DF357" s="808"/>
      <c r="DG357" s="808"/>
      <c r="DH357" s="808"/>
      <c r="DI357" s="808"/>
      <c r="DJ357" s="808"/>
      <c r="DK357" s="808"/>
      <c r="DL357" s="808"/>
      <c r="DM357" s="808"/>
      <c r="DN357" s="808"/>
      <c r="DO357" s="808"/>
      <c r="DP357" s="808"/>
    </row>
    <row r="358" spans="1:120" hidden="1">
      <c r="A358" s="821"/>
      <c r="B358" s="813" t="s">
        <v>1278</v>
      </c>
      <c r="C358" s="814" t="s">
        <v>1375</v>
      </c>
      <c r="D358" s="815">
        <v>0</v>
      </c>
      <c r="E358" s="815">
        <v>0</v>
      </c>
      <c r="K358" s="808"/>
      <c r="M358" s="808"/>
      <c r="N358" s="808"/>
      <c r="O358" s="808"/>
      <c r="P358" s="808"/>
      <c r="Q358" s="808"/>
      <c r="R358" s="808"/>
      <c r="S358" s="808"/>
      <c r="T358" s="808"/>
      <c r="U358" s="808"/>
      <c r="V358" s="808"/>
      <c r="W358" s="808"/>
      <c r="X358" s="808"/>
      <c r="Y358" s="808"/>
      <c r="Z358" s="808"/>
      <c r="AA358" s="808"/>
      <c r="AB358" s="808"/>
      <c r="AC358" s="808"/>
      <c r="AD358" s="808"/>
      <c r="AE358" s="808"/>
      <c r="AF358" s="808"/>
      <c r="AG358" s="808"/>
      <c r="AH358" s="808"/>
      <c r="AI358" s="808"/>
      <c r="AJ358" s="808"/>
      <c r="AK358" s="808"/>
      <c r="AL358" s="808"/>
      <c r="AM358" s="808"/>
      <c r="AN358" s="808"/>
      <c r="AO358" s="808"/>
      <c r="AP358" s="808"/>
      <c r="AQ358" s="808"/>
      <c r="AR358" s="808"/>
      <c r="AS358" s="808"/>
      <c r="AT358" s="808"/>
      <c r="AU358" s="808"/>
      <c r="AV358" s="808"/>
      <c r="AW358" s="808"/>
      <c r="AX358" s="808"/>
      <c r="AY358" s="808"/>
      <c r="AZ358" s="808"/>
      <c r="BA358" s="808"/>
      <c r="BB358" s="808"/>
      <c r="BC358" s="808"/>
      <c r="BD358" s="808"/>
      <c r="BE358" s="808"/>
      <c r="BF358" s="808"/>
      <c r="BG358" s="808"/>
      <c r="BH358" s="808"/>
      <c r="BI358" s="808"/>
      <c r="BJ358" s="808"/>
      <c r="BK358" s="808"/>
      <c r="BL358" s="808"/>
      <c r="BM358" s="808"/>
      <c r="BN358" s="808"/>
      <c r="BO358" s="808"/>
      <c r="BP358" s="808"/>
      <c r="BQ358" s="808"/>
      <c r="BR358" s="808"/>
      <c r="BS358" s="808"/>
      <c r="BT358" s="808"/>
      <c r="BU358" s="808"/>
      <c r="BV358" s="808"/>
      <c r="BW358" s="808"/>
      <c r="BX358" s="808"/>
      <c r="BY358" s="808"/>
      <c r="BZ358" s="808"/>
      <c r="CA358" s="808"/>
      <c r="CB358" s="808"/>
      <c r="CC358" s="808"/>
      <c r="CD358" s="808"/>
      <c r="CE358" s="808"/>
      <c r="CF358" s="808"/>
      <c r="CG358" s="808"/>
      <c r="CH358" s="808"/>
      <c r="CI358" s="808"/>
      <c r="CJ358" s="808"/>
      <c r="CK358" s="808"/>
      <c r="CL358" s="808"/>
      <c r="CM358" s="808"/>
      <c r="CN358" s="808"/>
      <c r="CO358" s="808"/>
      <c r="CP358" s="808"/>
      <c r="CQ358" s="808"/>
      <c r="CR358" s="808"/>
      <c r="CS358" s="808"/>
      <c r="CT358" s="808"/>
      <c r="CU358" s="808"/>
      <c r="CV358" s="808"/>
      <c r="CW358" s="808"/>
      <c r="CX358" s="808"/>
      <c r="CY358" s="808"/>
      <c r="CZ358" s="808"/>
      <c r="DA358" s="808"/>
      <c r="DB358" s="808"/>
      <c r="DC358" s="808"/>
      <c r="DD358" s="808"/>
      <c r="DE358" s="808"/>
      <c r="DF358" s="808"/>
      <c r="DG358" s="808"/>
      <c r="DH358" s="808"/>
      <c r="DI358" s="808"/>
      <c r="DJ358" s="808"/>
      <c r="DK358" s="808"/>
      <c r="DL358" s="808"/>
      <c r="DM358" s="808"/>
      <c r="DN358" s="808"/>
      <c r="DO358" s="808"/>
      <c r="DP358" s="808"/>
    </row>
    <row r="359" spans="1:120" hidden="1">
      <c r="A359" s="821"/>
      <c r="B359" s="813" t="s">
        <v>1280</v>
      </c>
      <c r="C359" s="814" t="s">
        <v>448</v>
      </c>
      <c r="D359" s="815">
        <v>0</v>
      </c>
      <c r="E359" s="815">
        <v>0</v>
      </c>
      <c r="K359" s="808"/>
      <c r="M359" s="808"/>
      <c r="N359" s="808"/>
      <c r="O359" s="808"/>
      <c r="P359" s="808"/>
      <c r="Q359" s="808"/>
      <c r="R359" s="808"/>
      <c r="S359" s="808"/>
      <c r="T359" s="808"/>
      <c r="U359" s="808"/>
      <c r="V359" s="808"/>
      <c r="W359" s="808"/>
      <c r="X359" s="808"/>
      <c r="Y359" s="808"/>
      <c r="Z359" s="808"/>
      <c r="AA359" s="808"/>
      <c r="AB359" s="808"/>
      <c r="AC359" s="808"/>
      <c r="AD359" s="808"/>
      <c r="AE359" s="808"/>
      <c r="AF359" s="808"/>
      <c r="AG359" s="808"/>
      <c r="AH359" s="808"/>
      <c r="AI359" s="808"/>
      <c r="AJ359" s="808"/>
      <c r="AK359" s="808"/>
      <c r="AL359" s="808"/>
      <c r="AM359" s="808"/>
      <c r="AN359" s="808"/>
      <c r="AO359" s="808"/>
      <c r="AP359" s="808"/>
      <c r="AQ359" s="808"/>
      <c r="AR359" s="808"/>
      <c r="AS359" s="808"/>
      <c r="AT359" s="808"/>
      <c r="AU359" s="808"/>
      <c r="AV359" s="808"/>
      <c r="AW359" s="808"/>
      <c r="AX359" s="808"/>
      <c r="AY359" s="808"/>
      <c r="AZ359" s="808"/>
      <c r="BA359" s="808"/>
      <c r="BB359" s="808"/>
      <c r="BC359" s="808"/>
      <c r="BD359" s="808"/>
      <c r="BE359" s="808"/>
      <c r="BF359" s="808"/>
      <c r="BG359" s="808"/>
      <c r="BH359" s="808"/>
      <c r="BI359" s="808"/>
      <c r="BJ359" s="808"/>
      <c r="BK359" s="808"/>
      <c r="BL359" s="808"/>
      <c r="BM359" s="808"/>
      <c r="BN359" s="808"/>
      <c r="BO359" s="808"/>
      <c r="BP359" s="808"/>
      <c r="BQ359" s="808"/>
      <c r="BR359" s="808"/>
      <c r="BS359" s="808"/>
      <c r="BT359" s="808"/>
      <c r="BU359" s="808"/>
      <c r="BV359" s="808"/>
      <c r="BW359" s="808"/>
      <c r="BX359" s="808"/>
      <c r="BY359" s="808"/>
      <c r="BZ359" s="808"/>
      <c r="CA359" s="808"/>
      <c r="CB359" s="808"/>
      <c r="CC359" s="808"/>
      <c r="CD359" s="808"/>
      <c r="CE359" s="808"/>
      <c r="CF359" s="808"/>
      <c r="CG359" s="808"/>
      <c r="CH359" s="808"/>
      <c r="CI359" s="808"/>
      <c r="CJ359" s="808"/>
      <c r="CK359" s="808"/>
      <c r="CL359" s="808"/>
      <c r="CM359" s="808"/>
      <c r="CN359" s="808"/>
      <c r="CO359" s="808"/>
      <c r="CP359" s="808"/>
      <c r="CQ359" s="808"/>
      <c r="CR359" s="808"/>
      <c r="CS359" s="808"/>
      <c r="CT359" s="808"/>
      <c r="CU359" s="808"/>
      <c r="CV359" s="808"/>
      <c r="CW359" s="808"/>
      <c r="CX359" s="808"/>
      <c r="CY359" s="808"/>
      <c r="CZ359" s="808"/>
      <c r="DA359" s="808"/>
      <c r="DB359" s="808"/>
      <c r="DC359" s="808"/>
      <c r="DD359" s="808"/>
      <c r="DE359" s="808"/>
      <c r="DF359" s="808"/>
      <c r="DG359" s="808"/>
      <c r="DH359" s="808"/>
      <c r="DI359" s="808"/>
      <c r="DJ359" s="808"/>
      <c r="DK359" s="808"/>
      <c r="DL359" s="808"/>
      <c r="DM359" s="808"/>
      <c r="DN359" s="808"/>
      <c r="DO359" s="808"/>
      <c r="DP359" s="808"/>
    </row>
    <row r="360" spans="1:120" hidden="1">
      <c r="A360" s="821"/>
      <c r="B360" s="813" t="s">
        <v>1282</v>
      </c>
      <c r="C360" s="816" t="s">
        <v>82</v>
      </c>
      <c r="D360" s="815">
        <v>0</v>
      </c>
      <c r="E360" s="815">
        <v>0</v>
      </c>
      <c r="K360" s="808"/>
      <c r="M360" s="808"/>
      <c r="N360" s="808"/>
      <c r="O360" s="808"/>
      <c r="P360" s="808"/>
      <c r="Q360" s="808"/>
      <c r="R360" s="808"/>
      <c r="S360" s="808"/>
      <c r="T360" s="808"/>
      <c r="U360" s="808"/>
      <c r="V360" s="808"/>
      <c r="W360" s="808"/>
      <c r="X360" s="808"/>
      <c r="Y360" s="808"/>
      <c r="Z360" s="808"/>
      <c r="AA360" s="808"/>
      <c r="AB360" s="808"/>
      <c r="AC360" s="808"/>
      <c r="AD360" s="808"/>
      <c r="AE360" s="808"/>
      <c r="AF360" s="808"/>
      <c r="AG360" s="808"/>
      <c r="AH360" s="808"/>
      <c r="AI360" s="808"/>
      <c r="AJ360" s="808"/>
      <c r="AK360" s="808"/>
      <c r="AL360" s="808"/>
      <c r="AM360" s="808"/>
      <c r="AN360" s="808"/>
      <c r="AO360" s="808"/>
      <c r="AP360" s="808"/>
      <c r="AQ360" s="808"/>
      <c r="AR360" s="808"/>
      <c r="AS360" s="808"/>
      <c r="AT360" s="808"/>
      <c r="AU360" s="808"/>
      <c r="AV360" s="808"/>
      <c r="AW360" s="808"/>
      <c r="AX360" s="808"/>
      <c r="AY360" s="808"/>
      <c r="AZ360" s="808"/>
      <c r="BA360" s="808"/>
      <c r="BB360" s="808"/>
      <c r="BC360" s="808"/>
      <c r="BD360" s="808"/>
      <c r="BE360" s="808"/>
      <c r="BF360" s="808"/>
      <c r="BG360" s="808"/>
      <c r="BH360" s="808"/>
      <c r="BI360" s="808"/>
      <c r="BJ360" s="808"/>
      <c r="BK360" s="808"/>
      <c r="BL360" s="808"/>
      <c r="BM360" s="808"/>
      <c r="BN360" s="808"/>
      <c r="BO360" s="808"/>
      <c r="BP360" s="808"/>
      <c r="BQ360" s="808"/>
      <c r="BR360" s="808"/>
      <c r="BS360" s="808"/>
      <c r="BT360" s="808"/>
      <c r="BU360" s="808"/>
      <c r="BV360" s="808"/>
      <c r="BW360" s="808"/>
      <c r="BX360" s="808"/>
      <c r="BY360" s="808"/>
      <c r="BZ360" s="808"/>
      <c r="CA360" s="808"/>
      <c r="CB360" s="808"/>
      <c r="CC360" s="808"/>
      <c r="CD360" s="808"/>
      <c r="CE360" s="808"/>
      <c r="CF360" s="808"/>
      <c r="CG360" s="808"/>
      <c r="CH360" s="808"/>
      <c r="CI360" s="808"/>
      <c r="CJ360" s="808"/>
      <c r="CK360" s="808"/>
      <c r="CL360" s="808"/>
      <c r="CM360" s="808"/>
      <c r="CN360" s="808"/>
      <c r="CO360" s="808"/>
      <c r="CP360" s="808"/>
      <c r="CQ360" s="808"/>
      <c r="CR360" s="808"/>
      <c r="CS360" s="808"/>
      <c r="CT360" s="808"/>
      <c r="CU360" s="808"/>
      <c r="CV360" s="808"/>
      <c r="CW360" s="808"/>
      <c r="CX360" s="808"/>
      <c r="CY360" s="808"/>
      <c r="CZ360" s="808"/>
      <c r="DA360" s="808"/>
      <c r="DB360" s="808"/>
      <c r="DC360" s="808"/>
      <c r="DD360" s="808"/>
      <c r="DE360" s="808"/>
      <c r="DF360" s="808"/>
      <c r="DG360" s="808"/>
      <c r="DH360" s="808"/>
      <c r="DI360" s="808"/>
      <c r="DJ360" s="808"/>
      <c r="DK360" s="808"/>
      <c r="DL360" s="808"/>
      <c r="DM360" s="808"/>
      <c r="DN360" s="808"/>
      <c r="DO360" s="808"/>
      <c r="DP360" s="808"/>
    </row>
    <row r="361" spans="1:120" hidden="1">
      <c r="A361" s="821"/>
      <c r="B361" s="809" t="s">
        <v>1204</v>
      </c>
      <c r="C361" s="808"/>
      <c r="K361" s="808"/>
      <c r="M361" s="808"/>
      <c r="N361" s="808"/>
      <c r="O361" s="808"/>
      <c r="P361" s="808"/>
      <c r="Q361" s="808"/>
      <c r="R361" s="808"/>
      <c r="S361" s="808"/>
      <c r="T361" s="808"/>
      <c r="U361" s="808"/>
      <c r="V361" s="808"/>
      <c r="W361" s="808"/>
      <c r="X361" s="808"/>
      <c r="Y361" s="808"/>
      <c r="Z361" s="808"/>
      <c r="AA361" s="808"/>
      <c r="AB361" s="808"/>
      <c r="AC361" s="808"/>
      <c r="AD361" s="808"/>
      <c r="AE361" s="808"/>
      <c r="AF361" s="808"/>
      <c r="AG361" s="808"/>
      <c r="AH361" s="808"/>
      <c r="AI361" s="808"/>
      <c r="AJ361" s="808"/>
      <c r="AK361" s="808"/>
      <c r="AL361" s="808"/>
      <c r="AM361" s="808"/>
      <c r="AN361" s="808"/>
      <c r="AO361" s="808"/>
      <c r="AP361" s="808"/>
      <c r="AQ361" s="808"/>
      <c r="AR361" s="808"/>
      <c r="AS361" s="808"/>
      <c r="AT361" s="808"/>
      <c r="AU361" s="808"/>
      <c r="AV361" s="808"/>
      <c r="AW361" s="808"/>
      <c r="AX361" s="808"/>
      <c r="AY361" s="808"/>
      <c r="AZ361" s="808"/>
      <c r="BA361" s="808"/>
      <c r="BB361" s="808"/>
      <c r="BC361" s="808"/>
      <c r="BD361" s="808"/>
      <c r="BE361" s="808"/>
      <c r="BF361" s="808"/>
      <c r="BG361" s="808"/>
      <c r="BH361" s="808"/>
      <c r="BI361" s="808"/>
      <c r="BJ361" s="808"/>
      <c r="BK361" s="808"/>
      <c r="BL361" s="808"/>
      <c r="BM361" s="808"/>
      <c r="BN361" s="808"/>
      <c r="BO361" s="808"/>
      <c r="BP361" s="808"/>
      <c r="BQ361" s="808"/>
      <c r="BR361" s="808"/>
      <c r="BS361" s="808"/>
      <c r="BT361" s="808"/>
      <c r="BU361" s="808"/>
      <c r="BV361" s="808"/>
      <c r="BW361" s="808"/>
      <c r="BX361" s="808"/>
      <c r="BY361" s="808"/>
      <c r="BZ361" s="808"/>
      <c r="CA361" s="808"/>
      <c r="CB361" s="808"/>
      <c r="CC361" s="808"/>
      <c r="CD361" s="808"/>
      <c r="CE361" s="808"/>
      <c r="CF361" s="808"/>
      <c r="CG361" s="808"/>
      <c r="CH361" s="808"/>
      <c r="CI361" s="808"/>
      <c r="CJ361" s="808"/>
      <c r="CK361" s="808"/>
      <c r="CL361" s="808"/>
      <c r="CM361" s="808"/>
      <c r="CN361" s="808"/>
      <c r="CO361" s="808"/>
      <c r="CP361" s="808"/>
      <c r="CQ361" s="808"/>
      <c r="CR361" s="808"/>
      <c r="CS361" s="808"/>
      <c r="CT361" s="808"/>
      <c r="CU361" s="808"/>
      <c r="CV361" s="808"/>
      <c r="CW361" s="808"/>
      <c r="CX361" s="808"/>
      <c r="CY361" s="808"/>
      <c r="CZ361" s="808"/>
      <c r="DA361" s="808"/>
      <c r="DB361" s="808"/>
      <c r="DC361" s="808"/>
      <c r="DD361" s="808"/>
      <c r="DE361" s="808"/>
      <c r="DF361" s="808"/>
      <c r="DG361" s="808"/>
      <c r="DH361" s="808"/>
      <c r="DI361" s="808"/>
      <c r="DJ361" s="808"/>
      <c r="DK361" s="808"/>
      <c r="DL361" s="808"/>
      <c r="DM361" s="808"/>
      <c r="DN361" s="808"/>
      <c r="DO361" s="808"/>
      <c r="DP361" s="808"/>
    </row>
    <row r="362" spans="1:120">
      <c r="A362" s="820" t="s">
        <v>1200</v>
      </c>
      <c r="B362" s="807"/>
      <c r="C362" s="808"/>
      <c r="K362" s="808"/>
      <c r="M362" s="808"/>
      <c r="N362" s="808"/>
      <c r="O362" s="808"/>
      <c r="P362" s="808"/>
      <c r="Q362" s="808"/>
      <c r="R362" s="808"/>
      <c r="S362" s="808"/>
      <c r="T362" s="808"/>
      <c r="U362" s="808"/>
      <c r="V362" s="808"/>
      <c r="W362" s="808"/>
      <c r="X362" s="808"/>
      <c r="Y362" s="808"/>
      <c r="Z362" s="808"/>
      <c r="AA362" s="808"/>
      <c r="AB362" s="808"/>
      <c r="AC362" s="808"/>
      <c r="AD362" s="808"/>
      <c r="AE362" s="808"/>
      <c r="AF362" s="808"/>
      <c r="AG362" s="808"/>
      <c r="AH362" s="808"/>
      <c r="AI362" s="808"/>
      <c r="AJ362" s="808"/>
      <c r="AK362" s="808"/>
      <c r="AL362" s="808"/>
      <c r="AM362" s="808"/>
      <c r="AN362" s="808"/>
      <c r="AO362" s="808"/>
      <c r="AP362" s="808"/>
      <c r="AQ362" s="808"/>
      <c r="AR362" s="808"/>
      <c r="AS362" s="808"/>
      <c r="AT362" s="808"/>
      <c r="AU362" s="808"/>
      <c r="AV362" s="808"/>
      <c r="AW362" s="808"/>
      <c r="AX362" s="808"/>
      <c r="AY362" s="808"/>
      <c r="AZ362" s="808"/>
      <c r="BA362" s="808"/>
      <c r="BB362" s="808"/>
      <c r="BC362" s="808"/>
      <c r="BD362" s="808"/>
      <c r="BE362" s="808"/>
      <c r="BF362" s="808"/>
      <c r="BG362" s="808"/>
      <c r="BH362" s="808"/>
      <c r="BI362" s="808"/>
      <c r="BJ362" s="808"/>
      <c r="BK362" s="808"/>
      <c r="BL362" s="808"/>
      <c r="BM362" s="808"/>
      <c r="BN362" s="808"/>
      <c r="BO362" s="808"/>
      <c r="BP362" s="808"/>
      <c r="BQ362" s="808"/>
      <c r="BR362" s="808"/>
      <c r="BS362" s="808"/>
      <c r="BT362" s="808"/>
      <c r="BU362" s="808"/>
      <c r="BV362" s="808"/>
      <c r="BW362" s="808"/>
      <c r="BX362" s="808"/>
      <c r="BY362" s="808"/>
      <c r="BZ362" s="808"/>
      <c r="CA362" s="808"/>
      <c r="CB362" s="808"/>
      <c r="CC362" s="808"/>
      <c r="CD362" s="808"/>
      <c r="CE362" s="808"/>
      <c r="CF362" s="808"/>
      <c r="CG362" s="808"/>
      <c r="CH362" s="808"/>
      <c r="CI362" s="808"/>
      <c r="CJ362" s="808"/>
      <c r="CK362" s="808"/>
      <c r="CL362" s="808"/>
      <c r="CM362" s="808"/>
      <c r="CN362" s="808"/>
      <c r="CO362" s="808"/>
      <c r="CP362" s="808"/>
      <c r="CQ362" s="808"/>
      <c r="CR362" s="808"/>
      <c r="CS362" s="808"/>
      <c r="CT362" s="808"/>
      <c r="CU362" s="808"/>
      <c r="CV362" s="808"/>
      <c r="CW362" s="808"/>
      <c r="CX362" s="808"/>
      <c r="CY362" s="808"/>
      <c r="CZ362" s="808"/>
      <c r="DA362" s="808"/>
      <c r="DB362" s="808"/>
      <c r="DC362" s="808"/>
      <c r="DD362" s="808"/>
      <c r="DE362" s="808"/>
      <c r="DF362" s="808"/>
      <c r="DG362" s="808"/>
      <c r="DH362" s="808"/>
      <c r="DI362" s="808"/>
      <c r="DJ362" s="808"/>
      <c r="DK362" s="808"/>
      <c r="DL362" s="808"/>
      <c r="DM362" s="808"/>
      <c r="DN362" s="808"/>
      <c r="DO362" s="808"/>
      <c r="DP362" s="808"/>
    </row>
    <row r="363" spans="1:120">
      <c r="A363" s="821"/>
      <c r="B363" s="809" t="s">
        <v>1376</v>
      </c>
      <c r="C363" s="808"/>
      <c r="K363" s="808"/>
      <c r="M363" s="808"/>
      <c r="N363" s="808"/>
      <c r="O363" s="808"/>
      <c r="P363" s="808"/>
      <c r="Q363" s="808"/>
      <c r="R363" s="808"/>
      <c r="S363" s="808"/>
      <c r="T363" s="808"/>
      <c r="U363" s="808"/>
      <c r="V363" s="808"/>
      <c r="W363" s="808"/>
      <c r="X363" s="808"/>
      <c r="Y363" s="808"/>
      <c r="Z363" s="808"/>
      <c r="AA363" s="808"/>
      <c r="AB363" s="808"/>
      <c r="AC363" s="808"/>
      <c r="AD363" s="808"/>
      <c r="AE363" s="808"/>
      <c r="AF363" s="808"/>
      <c r="AG363" s="808"/>
      <c r="AH363" s="808"/>
      <c r="AI363" s="808"/>
      <c r="AJ363" s="808"/>
      <c r="AK363" s="808"/>
      <c r="AL363" s="808"/>
      <c r="AM363" s="808"/>
      <c r="AN363" s="808"/>
      <c r="AO363" s="808"/>
      <c r="AP363" s="808"/>
      <c r="AQ363" s="808"/>
      <c r="AR363" s="808"/>
      <c r="AS363" s="808"/>
      <c r="AT363" s="808"/>
      <c r="AU363" s="808"/>
      <c r="AV363" s="808"/>
      <c r="AW363" s="808"/>
      <c r="AX363" s="808"/>
      <c r="AY363" s="808"/>
      <c r="AZ363" s="808"/>
      <c r="BA363" s="808"/>
      <c r="BB363" s="808"/>
      <c r="BC363" s="808"/>
      <c r="BD363" s="808"/>
      <c r="BE363" s="808"/>
      <c r="BF363" s="808"/>
      <c r="BG363" s="808"/>
      <c r="BH363" s="808"/>
      <c r="BI363" s="808"/>
      <c r="BJ363" s="808"/>
      <c r="BK363" s="808"/>
      <c r="BL363" s="808"/>
      <c r="BM363" s="808"/>
      <c r="BN363" s="808"/>
      <c r="BO363" s="808"/>
      <c r="BP363" s="808"/>
      <c r="BQ363" s="808"/>
      <c r="BR363" s="808"/>
      <c r="BS363" s="808"/>
      <c r="BT363" s="808"/>
      <c r="BU363" s="808"/>
      <c r="BV363" s="808"/>
      <c r="BW363" s="808"/>
      <c r="BX363" s="808"/>
      <c r="BY363" s="808"/>
      <c r="BZ363" s="808"/>
      <c r="CA363" s="808"/>
      <c r="CB363" s="808"/>
      <c r="CC363" s="808"/>
      <c r="CD363" s="808"/>
      <c r="CE363" s="808"/>
      <c r="CF363" s="808"/>
      <c r="CG363" s="808"/>
      <c r="CH363" s="808"/>
      <c r="CI363" s="808"/>
      <c r="CJ363" s="808"/>
      <c r="CK363" s="808"/>
      <c r="CL363" s="808"/>
      <c r="CM363" s="808"/>
      <c r="CN363" s="808"/>
      <c r="CO363" s="808"/>
      <c r="CP363" s="808"/>
      <c r="CQ363" s="808"/>
      <c r="CR363" s="808"/>
      <c r="CS363" s="808"/>
      <c r="CT363" s="808"/>
      <c r="CU363" s="808"/>
      <c r="CV363" s="808"/>
      <c r="CW363" s="808"/>
      <c r="CX363" s="808"/>
      <c r="CY363" s="808"/>
      <c r="CZ363" s="808"/>
      <c r="DA363" s="808"/>
      <c r="DB363" s="808"/>
      <c r="DC363" s="808"/>
      <c r="DD363" s="808"/>
      <c r="DE363" s="808"/>
      <c r="DF363" s="808"/>
      <c r="DG363" s="808"/>
      <c r="DH363" s="808"/>
      <c r="DI363" s="808"/>
      <c r="DJ363" s="808"/>
      <c r="DK363" s="808"/>
      <c r="DL363" s="808"/>
      <c r="DM363" s="808"/>
      <c r="DN363" s="808"/>
      <c r="DO363" s="808"/>
      <c r="DP363" s="808"/>
    </row>
    <row r="364" spans="1:120">
      <c r="A364" s="821"/>
      <c r="B364" s="807"/>
      <c r="C364" s="808"/>
      <c r="F364" s="810" t="s">
        <v>1203</v>
      </c>
      <c r="K364" s="808"/>
      <c r="M364" s="808"/>
      <c r="N364" s="808"/>
      <c r="O364" s="808"/>
      <c r="P364" s="808"/>
      <c r="Q364" s="808"/>
      <c r="R364" s="808"/>
      <c r="S364" s="808"/>
      <c r="T364" s="808"/>
      <c r="U364" s="808"/>
      <c r="V364" s="808"/>
      <c r="W364" s="808"/>
      <c r="X364" s="808"/>
      <c r="Y364" s="808"/>
      <c r="Z364" s="808"/>
      <c r="AA364" s="808"/>
      <c r="AB364" s="808"/>
      <c r="AC364" s="808"/>
      <c r="AD364" s="808"/>
      <c r="AE364" s="808"/>
      <c r="AF364" s="808"/>
      <c r="AG364" s="808"/>
      <c r="AH364" s="808"/>
      <c r="AI364" s="808"/>
      <c r="AJ364" s="808"/>
      <c r="AK364" s="808"/>
      <c r="AL364" s="808"/>
      <c r="AM364" s="808"/>
      <c r="AN364" s="808"/>
      <c r="AO364" s="808"/>
      <c r="AP364" s="808"/>
      <c r="AQ364" s="808"/>
      <c r="AR364" s="808"/>
      <c r="AS364" s="808"/>
      <c r="AT364" s="808"/>
      <c r="AU364" s="808"/>
      <c r="AV364" s="808"/>
      <c r="AW364" s="808"/>
      <c r="AX364" s="808"/>
      <c r="AY364" s="808"/>
      <c r="AZ364" s="808"/>
      <c r="BA364" s="808"/>
      <c r="BB364" s="808"/>
      <c r="BC364" s="808"/>
      <c r="BD364" s="808"/>
      <c r="BE364" s="808"/>
      <c r="BF364" s="808"/>
      <c r="BG364" s="808"/>
      <c r="BH364" s="808"/>
      <c r="BI364" s="808"/>
      <c r="BJ364" s="808"/>
      <c r="BK364" s="808"/>
      <c r="BL364" s="808"/>
      <c r="BM364" s="808"/>
      <c r="BN364" s="808"/>
      <c r="BO364" s="808"/>
      <c r="BP364" s="808"/>
      <c r="BQ364" s="808"/>
      <c r="BR364" s="808"/>
      <c r="BS364" s="808"/>
      <c r="BT364" s="808"/>
      <c r="BU364" s="808"/>
      <c r="BV364" s="808"/>
      <c r="BW364" s="808"/>
      <c r="BX364" s="808"/>
      <c r="BY364" s="808"/>
      <c r="BZ364" s="808"/>
      <c r="CA364" s="808"/>
      <c r="CB364" s="808"/>
      <c r="CC364" s="808"/>
      <c r="CD364" s="808"/>
      <c r="CE364" s="808"/>
      <c r="CF364" s="808"/>
      <c r="CG364" s="808"/>
      <c r="CH364" s="808"/>
      <c r="CI364" s="808"/>
      <c r="CJ364" s="808"/>
      <c r="CK364" s="808"/>
      <c r="CL364" s="808"/>
      <c r="CM364" s="808"/>
      <c r="CN364" s="808"/>
      <c r="CO364" s="808"/>
      <c r="CP364" s="808"/>
      <c r="CQ364" s="808"/>
      <c r="CR364" s="808"/>
      <c r="CS364" s="808"/>
      <c r="CT364" s="808"/>
      <c r="CU364" s="808"/>
      <c r="CV364" s="808"/>
      <c r="CW364" s="808"/>
      <c r="CX364" s="808"/>
      <c r="CY364" s="808"/>
      <c r="CZ364" s="808"/>
      <c r="DA364" s="808"/>
      <c r="DB364" s="808"/>
      <c r="DC364" s="808"/>
      <c r="DD364" s="808"/>
      <c r="DE364" s="808"/>
      <c r="DF364" s="808"/>
      <c r="DG364" s="808"/>
      <c r="DH364" s="808"/>
      <c r="DI364" s="808"/>
      <c r="DJ364" s="808"/>
      <c r="DK364" s="808"/>
      <c r="DL364" s="808"/>
      <c r="DM364" s="808"/>
      <c r="DN364" s="808"/>
      <c r="DO364" s="808"/>
      <c r="DP364" s="808"/>
    </row>
    <row r="365" spans="1:120">
      <c r="A365" s="821"/>
      <c r="B365" s="811" t="s">
        <v>79</v>
      </c>
      <c r="C365" s="811" t="s">
        <v>5</v>
      </c>
      <c r="D365" s="812" t="s">
        <v>452</v>
      </c>
      <c r="E365" s="812" t="s">
        <v>199</v>
      </c>
      <c r="F365" s="812" t="s">
        <v>454</v>
      </c>
      <c r="K365" s="808"/>
      <c r="M365" s="808"/>
      <c r="N365" s="808"/>
      <c r="O365" s="808"/>
      <c r="P365" s="808"/>
      <c r="Q365" s="808"/>
      <c r="R365" s="808"/>
      <c r="S365" s="808"/>
      <c r="T365" s="808"/>
      <c r="U365" s="808"/>
      <c r="V365" s="808"/>
      <c r="W365" s="808"/>
      <c r="X365" s="808"/>
      <c r="Y365" s="808"/>
      <c r="Z365" s="808"/>
      <c r="AA365" s="808"/>
      <c r="AB365" s="808"/>
      <c r="AC365" s="808"/>
      <c r="AD365" s="808"/>
      <c r="AE365" s="808"/>
      <c r="AF365" s="808"/>
      <c r="AG365" s="808"/>
      <c r="AH365" s="808"/>
      <c r="AI365" s="808"/>
      <c r="AJ365" s="808"/>
      <c r="AK365" s="808"/>
      <c r="AL365" s="808"/>
      <c r="AM365" s="808"/>
      <c r="AN365" s="808"/>
      <c r="AO365" s="808"/>
      <c r="AP365" s="808"/>
      <c r="AQ365" s="808"/>
      <c r="AR365" s="808"/>
      <c r="AS365" s="808"/>
      <c r="AT365" s="808"/>
      <c r="AU365" s="808"/>
      <c r="AV365" s="808"/>
      <c r="AW365" s="808"/>
      <c r="AX365" s="808"/>
      <c r="AY365" s="808"/>
      <c r="AZ365" s="808"/>
      <c r="BA365" s="808"/>
      <c r="BB365" s="808"/>
      <c r="BC365" s="808"/>
      <c r="BD365" s="808"/>
      <c r="BE365" s="808"/>
      <c r="BF365" s="808"/>
      <c r="BG365" s="808"/>
      <c r="BH365" s="808"/>
      <c r="BI365" s="808"/>
      <c r="BJ365" s="808"/>
      <c r="BK365" s="808"/>
      <c r="BL365" s="808"/>
      <c r="BM365" s="808"/>
      <c r="BN365" s="808"/>
      <c r="BO365" s="808"/>
      <c r="BP365" s="808"/>
      <c r="BQ365" s="808"/>
      <c r="BR365" s="808"/>
      <c r="BS365" s="808"/>
      <c r="BT365" s="808"/>
      <c r="BU365" s="808"/>
      <c r="BV365" s="808"/>
      <c r="BW365" s="808"/>
      <c r="BX365" s="808"/>
      <c r="BY365" s="808"/>
      <c r="BZ365" s="808"/>
      <c r="CA365" s="808"/>
      <c r="CB365" s="808"/>
      <c r="CC365" s="808"/>
      <c r="CD365" s="808"/>
      <c r="CE365" s="808"/>
      <c r="CF365" s="808"/>
      <c r="CG365" s="808"/>
      <c r="CH365" s="808"/>
      <c r="CI365" s="808"/>
      <c r="CJ365" s="808"/>
      <c r="CK365" s="808"/>
      <c r="CL365" s="808"/>
      <c r="CM365" s="808"/>
      <c r="CN365" s="808"/>
      <c r="CO365" s="808"/>
      <c r="CP365" s="808"/>
      <c r="CQ365" s="808"/>
      <c r="CR365" s="808"/>
      <c r="CS365" s="808"/>
      <c r="CT365" s="808"/>
      <c r="CU365" s="808"/>
      <c r="CV365" s="808"/>
      <c r="CW365" s="808"/>
      <c r="CX365" s="808"/>
      <c r="CY365" s="808"/>
      <c r="CZ365" s="808"/>
      <c r="DA365" s="808"/>
      <c r="DB365" s="808"/>
      <c r="DC365" s="808"/>
      <c r="DD365" s="808"/>
      <c r="DE365" s="808"/>
      <c r="DF365" s="808"/>
      <c r="DG365" s="808"/>
      <c r="DH365" s="808"/>
      <c r="DI365" s="808"/>
      <c r="DJ365" s="808"/>
      <c r="DK365" s="808"/>
      <c r="DL365" s="808"/>
      <c r="DM365" s="808"/>
      <c r="DN365" s="808"/>
      <c r="DO365" s="808"/>
      <c r="DP365" s="808"/>
    </row>
    <row r="366" spans="1:120">
      <c r="A366" s="821"/>
      <c r="B366" s="813" t="s">
        <v>947</v>
      </c>
      <c r="C366" s="814"/>
      <c r="D366" s="815"/>
      <c r="E366" s="815"/>
      <c r="F366" s="815" t="s">
        <v>1201</v>
      </c>
      <c r="K366" s="808"/>
      <c r="M366" s="808"/>
      <c r="N366" s="808"/>
      <c r="O366" s="808"/>
      <c r="P366" s="808"/>
      <c r="Q366" s="808"/>
      <c r="R366" s="808"/>
      <c r="S366" s="808"/>
      <c r="T366" s="808"/>
      <c r="U366" s="808"/>
      <c r="V366" s="808"/>
      <c r="W366" s="808"/>
      <c r="X366" s="808"/>
      <c r="Y366" s="808"/>
      <c r="Z366" s="808"/>
      <c r="AA366" s="808"/>
      <c r="AB366" s="808"/>
      <c r="AC366" s="808"/>
      <c r="AD366" s="808"/>
      <c r="AE366" s="808"/>
      <c r="AF366" s="808"/>
      <c r="AG366" s="808"/>
      <c r="AH366" s="808"/>
      <c r="AI366" s="808"/>
      <c r="AJ366" s="808"/>
      <c r="AK366" s="808"/>
      <c r="AL366" s="808"/>
      <c r="AM366" s="808"/>
      <c r="AN366" s="808"/>
      <c r="AO366" s="808"/>
      <c r="AP366" s="808"/>
      <c r="AQ366" s="808"/>
      <c r="AR366" s="808"/>
      <c r="AS366" s="808"/>
      <c r="AT366" s="808"/>
      <c r="AU366" s="808"/>
      <c r="AV366" s="808"/>
      <c r="AW366" s="808"/>
      <c r="AX366" s="808"/>
      <c r="AY366" s="808"/>
      <c r="AZ366" s="808"/>
      <c r="BA366" s="808"/>
      <c r="BB366" s="808"/>
      <c r="BC366" s="808"/>
      <c r="BD366" s="808"/>
      <c r="BE366" s="808"/>
      <c r="BF366" s="808"/>
      <c r="BG366" s="808"/>
      <c r="BH366" s="808"/>
      <c r="BI366" s="808"/>
      <c r="BJ366" s="808"/>
      <c r="BK366" s="808"/>
      <c r="BL366" s="808"/>
      <c r="BM366" s="808"/>
      <c r="BN366" s="808"/>
      <c r="BO366" s="808"/>
      <c r="BP366" s="808"/>
      <c r="BQ366" s="808"/>
      <c r="BR366" s="808"/>
      <c r="BS366" s="808"/>
      <c r="BT366" s="808"/>
      <c r="BU366" s="808"/>
      <c r="BV366" s="808"/>
      <c r="BW366" s="808"/>
      <c r="BX366" s="808"/>
      <c r="BY366" s="808"/>
      <c r="BZ366" s="808"/>
      <c r="CA366" s="808"/>
      <c r="CB366" s="808"/>
      <c r="CC366" s="808"/>
      <c r="CD366" s="808"/>
      <c r="CE366" s="808"/>
      <c r="CF366" s="808"/>
      <c r="CG366" s="808"/>
      <c r="CH366" s="808"/>
      <c r="CI366" s="808"/>
      <c r="CJ366" s="808"/>
      <c r="CK366" s="808"/>
      <c r="CL366" s="808"/>
      <c r="CM366" s="808"/>
      <c r="CN366" s="808"/>
      <c r="CO366" s="808"/>
      <c r="CP366" s="808"/>
      <c r="CQ366" s="808"/>
      <c r="CR366" s="808"/>
      <c r="CS366" s="808"/>
      <c r="CT366" s="808"/>
      <c r="CU366" s="808"/>
      <c r="CV366" s="808"/>
      <c r="CW366" s="808"/>
      <c r="CX366" s="808"/>
      <c r="CY366" s="808"/>
      <c r="CZ366" s="808"/>
      <c r="DA366" s="808"/>
      <c r="DB366" s="808"/>
      <c r="DC366" s="808"/>
      <c r="DD366" s="808"/>
      <c r="DE366" s="808"/>
      <c r="DF366" s="808"/>
      <c r="DG366" s="808"/>
      <c r="DH366" s="808"/>
      <c r="DI366" s="808"/>
      <c r="DJ366" s="808"/>
      <c r="DK366" s="808"/>
      <c r="DL366" s="808"/>
      <c r="DM366" s="808"/>
      <c r="DN366" s="808"/>
      <c r="DO366" s="808"/>
      <c r="DP366" s="808"/>
    </row>
    <row r="367" spans="1:120">
      <c r="A367" s="821"/>
      <c r="B367" s="813" t="s">
        <v>947</v>
      </c>
      <c r="C367" s="814"/>
      <c r="D367" s="815"/>
      <c r="E367" s="815"/>
      <c r="F367" s="815" t="s">
        <v>1201</v>
      </c>
      <c r="K367" s="808"/>
      <c r="M367" s="808"/>
      <c r="N367" s="808"/>
      <c r="O367" s="808"/>
      <c r="P367" s="808"/>
      <c r="Q367" s="808"/>
      <c r="R367" s="808"/>
      <c r="S367" s="808"/>
      <c r="T367" s="808"/>
      <c r="U367" s="808"/>
      <c r="V367" s="808"/>
      <c r="W367" s="808"/>
      <c r="X367" s="808"/>
      <c r="Y367" s="808"/>
      <c r="Z367" s="808"/>
      <c r="AA367" s="808"/>
      <c r="AB367" s="808"/>
      <c r="AC367" s="808"/>
      <c r="AD367" s="808"/>
      <c r="AE367" s="808"/>
      <c r="AF367" s="808"/>
      <c r="AG367" s="808"/>
      <c r="AH367" s="808"/>
      <c r="AI367" s="808"/>
      <c r="AJ367" s="808"/>
      <c r="AK367" s="808"/>
      <c r="AL367" s="808"/>
      <c r="AM367" s="808"/>
      <c r="AN367" s="808"/>
      <c r="AO367" s="808"/>
      <c r="AP367" s="808"/>
      <c r="AQ367" s="808"/>
      <c r="AR367" s="808"/>
      <c r="AS367" s="808"/>
      <c r="AT367" s="808"/>
      <c r="AU367" s="808"/>
      <c r="AV367" s="808"/>
      <c r="AW367" s="808"/>
      <c r="AX367" s="808"/>
      <c r="AY367" s="808"/>
      <c r="AZ367" s="808"/>
      <c r="BA367" s="808"/>
      <c r="BB367" s="808"/>
      <c r="BC367" s="808"/>
      <c r="BD367" s="808"/>
      <c r="BE367" s="808"/>
      <c r="BF367" s="808"/>
      <c r="BG367" s="808"/>
      <c r="BH367" s="808"/>
      <c r="BI367" s="808"/>
      <c r="BJ367" s="808"/>
      <c r="BK367" s="808"/>
      <c r="BL367" s="808"/>
      <c r="BM367" s="808"/>
      <c r="BN367" s="808"/>
      <c r="BO367" s="808"/>
      <c r="BP367" s="808"/>
      <c r="BQ367" s="808"/>
      <c r="BR367" s="808"/>
      <c r="BS367" s="808"/>
      <c r="BT367" s="808"/>
      <c r="BU367" s="808"/>
      <c r="BV367" s="808"/>
      <c r="BW367" s="808"/>
      <c r="BX367" s="808"/>
      <c r="BY367" s="808"/>
      <c r="BZ367" s="808"/>
      <c r="CA367" s="808"/>
      <c r="CB367" s="808"/>
      <c r="CC367" s="808"/>
      <c r="CD367" s="808"/>
      <c r="CE367" s="808"/>
      <c r="CF367" s="808"/>
      <c r="CG367" s="808"/>
      <c r="CH367" s="808"/>
      <c r="CI367" s="808"/>
      <c r="CJ367" s="808"/>
      <c r="CK367" s="808"/>
      <c r="CL367" s="808"/>
      <c r="CM367" s="808"/>
      <c r="CN367" s="808"/>
      <c r="CO367" s="808"/>
      <c r="CP367" s="808"/>
      <c r="CQ367" s="808"/>
      <c r="CR367" s="808"/>
      <c r="CS367" s="808"/>
      <c r="CT367" s="808"/>
      <c r="CU367" s="808"/>
      <c r="CV367" s="808"/>
      <c r="CW367" s="808"/>
      <c r="CX367" s="808"/>
      <c r="CY367" s="808"/>
      <c r="CZ367" s="808"/>
      <c r="DA367" s="808"/>
      <c r="DB367" s="808"/>
      <c r="DC367" s="808"/>
      <c r="DD367" s="808"/>
      <c r="DE367" s="808"/>
      <c r="DF367" s="808"/>
      <c r="DG367" s="808"/>
      <c r="DH367" s="808"/>
      <c r="DI367" s="808"/>
      <c r="DJ367" s="808"/>
      <c r="DK367" s="808"/>
      <c r="DL367" s="808"/>
      <c r="DM367" s="808"/>
      <c r="DN367" s="808"/>
      <c r="DO367" s="808"/>
      <c r="DP367" s="808"/>
    </row>
    <row r="368" spans="1:120">
      <c r="A368" s="821"/>
      <c r="B368" s="813" t="s">
        <v>947</v>
      </c>
      <c r="C368" s="814"/>
      <c r="D368" s="815"/>
      <c r="E368" s="815"/>
      <c r="F368" s="815" t="s">
        <v>1201</v>
      </c>
      <c r="K368" s="808"/>
      <c r="M368" s="808"/>
      <c r="N368" s="808"/>
      <c r="O368" s="808"/>
      <c r="P368" s="808"/>
      <c r="Q368" s="808"/>
      <c r="R368" s="808"/>
      <c r="S368" s="808"/>
      <c r="T368" s="808"/>
      <c r="U368" s="808"/>
      <c r="V368" s="808"/>
      <c r="W368" s="808"/>
      <c r="X368" s="808"/>
      <c r="Y368" s="808"/>
      <c r="Z368" s="808"/>
      <c r="AA368" s="808"/>
      <c r="AB368" s="808"/>
      <c r="AC368" s="808"/>
      <c r="AD368" s="808"/>
      <c r="AE368" s="808"/>
      <c r="AF368" s="808"/>
      <c r="AG368" s="808"/>
      <c r="AH368" s="808"/>
      <c r="AI368" s="808"/>
      <c r="AJ368" s="808"/>
      <c r="AK368" s="808"/>
      <c r="AL368" s="808"/>
      <c r="AM368" s="808"/>
      <c r="AN368" s="808"/>
      <c r="AO368" s="808"/>
      <c r="AP368" s="808"/>
      <c r="AQ368" s="808"/>
      <c r="AR368" s="808"/>
      <c r="AS368" s="808"/>
      <c r="AT368" s="808"/>
      <c r="AU368" s="808"/>
      <c r="AV368" s="808"/>
      <c r="AW368" s="808"/>
      <c r="AX368" s="808"/>
      <c r="AY368" s="808"/>
      <c r="AZ368" s="808"/>
      <c r="BA368" s="808"/>
      <c r="BB368" s="808"/>
      <c r="BC368" s="808"/>
      <c r="BD368" s="808"/>
      <c r="BE368" s="808"/>
      <c r="BF368" s="808"/>
      <c r="BG368" s="808"/>
      <c r="BH368" s="808"/>
      <c r="BI368" s="808"/>
      <c r="BJ368" s="808"/>
      <c r="BK368" s="808"/>
      <c r="BL368" s="808"/>
      <c r="BM368" s="808"/>
      <c r="BN368" s="808"/>
      <c r="BO368" s="808"/>
      <c r="BP368" s="808"/>
      <c r="BQ368" s="808"/>
      <c r="BR368" s="808"/>
      <c r="BS368" s="808"/>
      <c r="BT368" s="808"/>
      <c r="BU368" s="808"/>
      <c r="BV368" s="808"/>
      <c r="BW368" s="808"/>
      <c r="BX368" s="808"/>
      <c r="BY368" s="808"/>
      <c r="BZ368" s="808"/>
      <c r="CA368" s="808"/>
      <c r="CB368" s="808"/>
      <c r="CC368" s="808"/>
      <c r="CD368" s="808"/>
      <c r="CE368" s="808"/>
      <c r="CF368" s="808"/>
      <c r="CG368" s="808"/>
      <c r="CH368" s="808"/>
      <c r="CI368" s="808"/>
      <c r="CJ368" s="808"/>
      <c r="CK368" s="808"/>
      <c r="CL368" s="808"/>
      <c r="CM368" s="808"/>
      <c r="CN368" s="808"/>
      <c r="CO368" s="808"/>
      <c r="CP368" s="808"/>
      <c r="CQ368" s="808"/>
      <c r="CR368" s="808"/>
      <c r="CS368" s="808"/>
      <c r="CT368" s="808"/>
      <c r="CU368" s="808"/>
      <c r="CV368" s="808"/>
      <c r="CW368" s="808"/>
      <c r="CX368" s="808"/>
      <c r="CY368" s="808"/>
      <c r="CZ368" s="808"/>
      <c r="DA368" s="808"/>
      <c r="DB368" s="808"/>
      <c r="DC368" s="808"/>
      <c r="DD368" s="808"/>
      <c r="DE368" s="808"/>
      <c r="DF368" s="808"/>
      <c r="DG368" s="808"/>
      <c r="DH368" s="808"/>
      <c r="DI368" s="808"/>
      <c r="DJ368" s="808"/>
      <c r="DK368" s="808"/>
      <c r="DL368" s="808"/>
      <c r="DM368" s="808"/>
      <c r="DN368" s="808"/>
      <c r="DO368" s="808"/>
      <c r="DP368" s="808"/>
    </row>
    <row r="369" spans="1:120">
      <c r="A369" s="821"/>
      <c r="B369" s="813" t="s">
        <v>947</v>
      </c>
      <c r="C369" s="814"/>
      <c r="D369" s="815"/>
      <c r="E369" s="815"/>
      <c r="F369" s="815" t="s">
        <v>1201</v>
      </c>
      <c r="K369" s="808"/>
      <c r="M369" s="808"/>
      <c r="N369" s="808"/>
      <c r="O369" s="808"/>
      <c r="P369" s="808"/>
      <c r="Q369" s="808"/>
      <c r="R369" s="808"/>
      <c r="S369" s="808"/>
      <c r="T369" s="808"/>
      <c r="U369" s="808"/>
      <c r="V369" s="808"/>
      <c r="W369" s="808"/>
      <c r="X369" s="808"/>
      <c r="Y369" s="808"/>
      <c r="Z369" s="808"/>
      <c r="AA369" s="808"/>
      <c r="AB369" s="808"/>
      <c r="AC369" s="808"/>
      <c r="AD369" s="808"/>
      <c r="AE369" s="808"/>
      <c r="AF369" s="808"/>
      <c r="AG369" s="808"/>
      <c r="AH369" s="808"/>
      <c r="AI369" s="808"/>
      <c r="AJ369" s="808"/>
      <c r="AK369" s="808"/>
      <c r="AL369" s="808"/>
      <c r="AM369" s="808"/>
      <c r="AN369" s="808"/>
      <c r="AO369" s="808"/>
      <c r="AP369" s="808"/>
      <c r="AQ369" s="808"/>
      <c r="AR369" s="808"/>
      <c r="AS369" s="808"/>
      <c r="AT369" s="808"/>
      <c r="AU369" s="808"/>
      <c r="AV369" s="808"/>
      <c r="AW369" s="808"/>
      <c r="AX369" s="808"/>
      <c r="AY369" s="808"/>
      <c r="AZ369" s="808"/>
      <c r="BA369" s="808"/>
      <c r="BB369" s="808"/>
      <c r="BC369" s="808"/>
      <c r="BD369" s="808"/>
      <c r="BE369" s="808"/>
      <c r="BF369" s="808"/>
      <c r="BG369" s="808"/>
      <c r="BH369" s="808"/>
      <c r="BI369" s="808"/>
      <c r="BJ369" s="808"/>
      <c r="BK369" s="808"/>
      <c r="BL369" s="808"/>
      <c r="BM369" s="808"/>
      <c r="BN369" s="808"/>
      <c r="BO369" s="808"/>
      <c r="BP369" s="808"/>
      <c r="BQ369" s="808"/>
      <c r="BR369" s="808"/>
      <c r="BS369" s="808"/>
      <c r="BT369" s="808"/>
      <c r="BU369" s="808"/>
      <c r="BV369" s="808"/>
      <c r="BW369" s="808"/>
      <c r="BX369" s="808"/>
      <c r="BY369" s="808"/>
      <c r="BZ369" s="808"/>
      <c r="CA369" s="808"/>
      <c r="CB369" s="808"/>
      <c r="CC369" s="808"/>
      <c r="CD369" s="808"/>
      <c r="CE369" s="808"/>
      <c r="CF369" s="808"/>
      <c r="CG369" s="808"/>
      <c r="CH369" s="808"/>
      <c r="CI369" s="808"/>
      <c r="CJ369" s="808"/>
      <c r="CK369" s="808"/>
      <c r="CL369" s="808"/>
      <c r="CM369" s="808"/>
      <c r="CN369" s="808"/>
      <c r="CO369" s="808"/>
      <c r="CP369" s="808"/>
      <c r="CQ369" s="808"/>
      <c r="CR369" s="808"/>
      <c r="CS369" s="808"/>
      <c r="CT369" s="808"/>
      <c r="CU369" s="808"/>
      <c r="CV369" s="808"/>
      <c r="CW369" s="808"/>
      <c r="CX369" s="808"/>
      <c r="CY369" s="808"/>
      <c r="CZ369" s="808"/>
      <c r="DA369" s="808"/>
      <c r="DB369" s="808"/>
      <c r="DC369" s="808"/>
      <c r="DD369" s="808"/>
      <c r="DE369" s="808"/>
      <c r="DF369" s="808"/>
      <c r="DG369" s="808"/>
      <c r="DH369" s="808"/>
      <c r="DI369" s="808"/>
      <c r="DJ369" s="808"/>
      <c r="DK369" s="808"/>
      <c r="DL369" s="808"/>
      <c r="DM369" s="808"/>
      <c r="DN369" s="808"/>
      <c r="DO369" s="808"/>
      <c r="DP369" s="808"/>
    </row>
    <row r="370" spans="1:120">
      <c r="A370" s="821"/>
      <c r="B370" s="813" t="s">
        <v>947</v>
      </c>
      <c r="C370" s="814"/>
      <c r="D370" s="815"/>
      <c r="E370" s="815"/>
      <c r="F370" s="815" t="s">
        <v>1201</v>
      </c>
      <c r="K370" s="808"/>
      <c r="M370" s="808"/>
      <c r="N370" s="808"/>
      <c r="O370" s="808"/>
      <c r="P370" s="808"/>
      <c r="Q370" s="808"/>
      <c r="R370" s="808"/>
      <c r="S370" s="808"/>
      <c r="T370" s="808"/>
      <c r="U370" s="808"/>
      <c r="V370" s="808"/>
      <c r="W370" s="808"/>
      <c r="X370" s="808"/>
      <c r="Y370" s="808"/>
      <c r="Z370" s="808"/>
      <c r="AA370" s="808"/>
      <c r="AB370" s="808"/>
      <c r="AC370" s="808"/>
      <c r="AD370" s="808"/>
      <c r="AE370" s="808"/>
      <c r="AF370" s="808"/>
      <c r="AG370" s="808"/>
      <c r="AH370" s="808"/>
      <c r="AI370" s="808"/>
      <c r="AJ370" s="808"/>
      <c r="AK370" s="808"/>
      <c r="AL370" s="808"/>
      <c r="AM370" s="808"/>
      <c r="AN370" s="808"/>
      <c r="AO370" s="808"/>
      <c r="AP370" s="808"/>
      <c r="AQ370" s="808"/>
      <c r="AR370" s="808"/>
      <c r="AS370" s="808"/>
      <c r="AT370" s="808"/>
      <c r="AU370" s="808"/>
      <c r="AV370" s="808"/>
      <c r="AW370" s="808"/>
      <c r="AX370" s="808"/>
      <c r="AY370" s="808"/>
      <c r="AZ370" s="808"/>
      <c r="BA370" s="808"/>
      <c r="BB370" s="808"/>
      <c r="BC370" s="808"/>
      <c r="BD370" s="808"/>
      <c r="BE370" s="808"/>
      <c r="BF370" s="808"/>
      <c r="BG370" s="808"/>
      <c r="BH370" s="808"/>
      <c r="BI370" s="808"/>
      <c r="BJ370" s="808"/>
      <c r="BK370" s="808"/>
      <c r="BL370" s="808"/>
      <c r="BM370" s="808"/>
      <c r="BN370" s="808"/>
      <c r="BO370" s="808"/>
      <c r="BP370" s="808"/>
      <c r="BQ370" s="808"/>
      <c r="BR370" s="808"/>
      <c r="BS370" s="808"/>
      <c r="BT370" s="808"/>
      <c r="BU370" s="808"/>
      <c r="BV370" s="808"/>
      <c r="BW370" s="808"/>
      <c r="BX370" s="808"/>
      <c r="BY370" s="808"/>
      <c r="BZ370" s="808"/>
      <c r="CA370" s="808"/>
      <c r="CB370" s="808"/>
      <c r="CC370" s="808"/>
      <c r="CD370" s="808"/>
      <c r="CE370" s="808"/>
      <c r="CF370" s="808"/>
      <c r="CG370" s="808"/>
      <c r="CH370" s="808"/>
      <c r="CI370" s="808"/>
      <c r="CJ370" s="808"/>
      <c r="CK370" s="808"/>
      <c r="CL370" s="808"/>
      <c r="CM370" s="808"/>
      <c r="CN370" s="808"/>
      <c r="CO370" s="808"/>
      <c r="CP370" s="808"/>
      <c r="CQ370" s="808"/>
      <c r="CR370" s="808"/>
      <c r="CS370" s="808"/>
      <c r="CT370" s="808"/>
      <c r="CU370" s="808"/>
      <c r="CV370" s="808"/>
      <c r="CW370" s="808"/>
      <c r="CX370" s="808"/>
      <c r="CY370" s="808"/>
      <c r="CZ370" s="808"/>
      <c r="DA370" s="808"/>
      <c r="DB370" s="808"/>
      <c r="DC370" s="808"/>
      <c r="DD370" s="808"/>
      <c r="DE370" s="808"/>
      <c r="DF370" s="808"/>
      <c r="DG370" s="808"/>
      <c r="DH370" s="808"/>
      <c r="DI370" s="808"/>
      <c r="DJ370" s="808"/>
      <c r="DK370" s="808"/>
      <c r="DL370" s="808"/>
      <c r="DM370" s="808"/>
      <c r="DN370" s="808"/>
      <c r="DO370" s="808"/>
      <c r="DP370" s="808"/>
    </row>
    <row r="371" spans="1:120">
      <c r="A371" s="821"/>
      <c r="B371" s="813" t="s">
        <v>947</v>
      </c>
      <c r="C371" s="814"/>
      <c r="D371" s="815"/>
      <c r="E371" s="815"/>
      <c r="F371" s="815" t="s">
        <v>1201</v>
      </c>
      <c r="K371" s="808"/>
      <c r="M371" s="808"/>
      <c r="N371" s="808"/>
      <c r="O371" s="808"/>
      <c r="P371" s="808"/>
      <c r="Q371" s="808"/>
      <c r="R371" s="808"/>
      <c r="S371" s="808"/>
      <c r="T371" s="808"/>
      <c r="U371" s="808"/>
      <c r="V371" s="808"/>
      <c r="W371" s="808"/>
      <c r="X371" s="808"/>
      <c r="Y371" s="808"/>
      <c r="Z371" s="808"/>
      <c r="AA371" s="808"/>
      <c r="AB371" s="808"/>
      <c r="AC371" s="808"/>
      <c r="AD371" s="808"/>
      <c r="AE371" s="808"/>
      <c r="AF371" s="808"/>
      <c r="AG371" s="808"/>
      <c r="AH371" s="808"/>
      <c r="AI371" s="808"/>
      <c r="AJ371" s="808"/>
      <c r="AK371" s="808"/>
      <c r="AL371" s="808"/>
      <c r="AM371" s="808"/>
      <c r="AN371" s="808"/>
      <c r="AO371" s="808"/>
      <c r="AP371" s="808"/>
      <c r="AQ371" s="808"/>
      <c r="AR371" s="808"/>
      <c r="AS371" s="808"/>
      <c r="AT371" s="808"/>
      <c r="AU371" s="808"/>
      <c r="AV371" s="808"/>
      <c r="AW371" s="808"/>
      <c r="AX371" s="808"/>
      <c r="AY371" s="808"/>
      <c r="AZ371" s="808"/>
      <c r="BA371" s="808"/>
      <c r="BB371" s="808"/>
      <c r="BC371" s="808"/>
      <c r="BD371" s="808"/>
      <c r="BE371" s="808"/>
      <c r="BF371" s="808"/>
      <c r="BG371" s="808"/>
      <c r="BH371" s="808"/>
      <c r="BI371" s="808"/>
      <c r="BJ371" s="808"/>
      <c r="BK371" s="808"/>
      <c r="BL371" s="808"/>
      <c r="BM371" s="808"/>
      <c r="BN371" s="808"/>
      <c r="BO371" s="808"/>
      <c r="BP371" s="808"/>
      <c r="BQ371" s="808"/>
      <c r="BR371" s="808"/>
      <c r="BS371" s="808"/>
      <c r="BT371" s="808"/>
      <c r="BU371" s="808"/>
      <c r="BV371" s="808"/>
      <c r="BW371" s="808"/>
      <c r="BX371" s="808"/>
      <c r="BY371" s="808"/>
      <c r="BZ371" s="808"/>
      <c r="CA371" s="808"/>
      <c r="CB371" s="808"/>
      <c r="CC371" s="808"/>
      <c r="CD371" s="808"/>
      <c r="CE371" s="808"/>
      <c r="CF371" s="808"/>
      <c r="CG371" s="808"/>
      <c r="CH371" s="808"/>
      <c r="CI371" s="808"/>
      <c r="CJ371" s="808"/>
      <c r="CK371" s="808"/>
      <c r="CL371" s="808"/>
      <c r="CM371" s="808"/>
      <c r="CN371" s="808"/>
      <c r="CO371" s="808"/>
      <c r="CP371" s="808"/>
      <c r="CQ371" s="808"/>
      <c r="CR371" s="808"/>
      <c r="CS371" s="808"/>
      <c r="CT371" s="808"/>
      <c r="CU371" s="808"/>
      <c r="CV371" s="808"/>
      <c r="CW371" s="808"/>
      <c r="CX371" s="808"/>
      <c r="CY371" s="808"/>
      <c r="CZ371" s="808"/>
      <c r="DA371" s="808"/>
      <c r="DB371" s="808"/>
      <c r="DC371" s="808"/>
      <c r="DD371" s="808"/>
      <c r="DE371" s="808"/>
      <c r="DF371" s="808"/>
      <c r="DG371" s="808"/>
      <c r="DH371" s="808"/>
      <c r="DI371" s="808"/>
      <c r="DJ371" s="808"/>
      <c r="DK371" s="808"/>
      <c r="DL371" s="808"/>
      <c r="DM371" s="808"/>
      <c r="DN371" s="808"/>
      <c r="DO371" s="808"/>
      <c r="DP371" s="808"/>
    </row>
    <row r="372" spans="1:120">
      <c r="A372" s="821"/>
      <c r="B372" s="813" t="s">
        <v>947</v>
      </c>
      <c r="C372" s="814"/>
      <c r="D372" s="815"/>
      <c r="E372" s="815"/>
      <c r="F372" s="815" t="s">
        <v>1201</v>
      </c>
      <c r="K372" s="808"/>
      <c r="M372" s="808"/>
      <c r="N372" s="808"/>
      <c r="O372" s="808"/>
      <c r="P372" s="808"/>
      <c r="Q372" s="808"/>
      <c r="R372" s="808"/>
      <c r="S372" s="808"/>
      <c r="T372" s="808"/>
      <c r="U372" s="808"/>
      <c r="V372" s="808"/>
      <c r="W372" s="808"/>
      <c r="X372" s="808"/>
      <c r="Y372" s="808"/>
      <c r="Z372" s="808"/>
      <c r="AA372" s="808"/>
      <c r="AB372" s="808"/>
      <c r="AC372" s="808"/>
      <c r="AD372" s="808"/>
      <c r="AE372" s="808"/>
      <c r="AF372" s="808"/>
      <c r="AG372" s="808"/>
      <c r="AH372" s="808"/>
      <c r="AI372" s="808"/>
      <c r="AJ372" s="808"/>
      <c r="AK372" s="808"/>
      <c r="AL372" s="808"/>
      <c r="AM372" s="808"/>
      <c r="AN372" s="808"/>
      <c r="AO372" s="808"/>
      <c r="AP372" s="808"/>
      <c r="AQ372" s="808"/>
      <c r="AR372" s="808"/>
      <c r="AS372" s="808"/>
      <c r="AT372" s="808"/>
      <c r="AU372" s="808"/>
      <c r="AV372" s="808"/>
      <c r="AW372" s="808"/>
      <c r="AX372" s="808"/>
      <c r="AY372" s="808"/>
      <c r="AZ372" s="808"/>
      <c r="BA372" s="808"/>
      <c r="BB372" s="808"/>
      <c r="BC372" s="808"/>
      <c r="BD372" s="808"/>
      <c r="BE372" s="808"/>
      <c r="BF372" s="808"/>
      <c r="BG372" s="808"/>
      <c r="BH372" s="808"/>
      <c r="BI372" s="808"/>
      <c r="BJ372" s="808"/>
      <c r="BK372" s="808"/>
      <c r="BL372" s="808"/>
      <c r="BM372" s="808"/>
      <c r="BN372" s="808"/>
      <c r="BO372" s="808"/>
      <c r="BP372" s="808"/>
      <c r="BQ372" s="808"/>
      <c r="BR372" s="808"/>
      <c r="BS372" s="808"/>
      <c r="BT372" s="808"/>
      <c r="BU372" s="808"/>
      <c r="BV372" s="808"/>
      <c r="BW372" s="808"/>
      <c r="BX372" s="808"/>
      <c r="BY372" s="808"/>
      <c r="BZ372" s="808"/>
      <c r="CA372" s="808"/>
      <c r="CB372" s="808"/>
      <c r="CC372" s="808"/>
      <c r="CD372" s="808"/>
      <c r="CE372" s="808"/>
      <c r="CF372" s="808"/>
      <c r="CG372" s="808"/>
      <c r="CH372" s="808"/>
      <c r="CI372" s="808"/>
      <c r="CJ372" s="808"/>
      <c r="CK372" s="808"/>
      <c r="CL372" s="808"/>
      <c r="CM372" s="808"/>
      <c r="CN372" s="808"/>
      <c r="CO372" s="808"/>
      <c r="CP372" s="808"/>
      <c r="CQ372" s="808"/>
      <c r="CR372" s="808"/>
      <c r="CS372" s="808"/>
      <c r="CT372" s="808"/>
      <c r="CU372" s="808"/>
      <c r="CV372" s="808"/>
      <c r="CW372" s="808"/>
      <c r="CX372" s="808"/>
      <c r="CY372" s="808"/>
      <c r="CZ372" s="808"/>
      <c r="DA372" s="808"/>
      <c r="DB372" s="808"/>
      <c r="DC372" s="808"/>
      <c r="DD372" s="808"/>
      <c r="DE372" s="808"/>
      <c r="DF372" s="808"/>
      <c r="DG372" s="808"/>
      <c r="DH372" s="808"/>
      <c r="DI372" s="808"/>
      <c r="DJ372" s="808"/>
      <c r="DK372" s="808"/>
      <c r="DL372" s="808"/>
      <c r="DM372" s="808"/>
      <c r="DN372" s="808"/>
      <c r="DO372" s="808"/>
      <c r="DP372" s="808"/>
    </row>
    <row r="373" spans="1:120">
      <c r="A373" s="821" t="s">
        <v>1201</v>
      </c>
      <c r="B373" s="807" t="s">
        <v>1201</v>
      </c>
      <c r="C373" s="808" t="s">
        <v>1201</v>
      </c>
      <c r="D373" s="214" t="s">
        <v>1201</v>
      </c>
      <c r="K373" s="808"/>
      <c r="M373" s="808"/>
      <c r="N373" s="808"/>
      <c r="O373" s="808"/>
      <c r="P373" s="808"/>
      <c r="Q373" s="808"/>
      <c r="R373" s="808"/>
      <c r="S373" s="808"/>
      <c r="T373" s="808"/>
      <c r="U373" s="808"/>
      <c r="V373" s="808"/>
      <c r="W373" s="808"/>
      <c r="X373" s="808"/>
      <c r="Y373" s="808"/>
      <c r="Z373" s="808"/>
      <c r="AA373" s="808"/>
      <c r="AB373" s="808"/>
      <c r="AC373" s="808"/>
      <c r="AD373" s="808"/>
      <c r="AE373" s="808"/>
      <c r="AF373" s="808"/>
      <c r="AG373" s="808"/>
      <c r="AH373" s="808"/>
      <c r="AI373" s="808"/>
      <c r="AJ373" s="808"/>
      <c r="AK373" s="808"/>
      <c r="AL373" s="808"/>
      <c r="AM373" s="808"/>
      <c r="AN373" s="808"/>
      <c r="AO373" s="808"/>
      <c r="AP373" s="808"/>
      <c r="AQ373" s="808"/>
      <c r="AR373" s="808"/>
      <c r="AS373" s="808"/>
      <c r="AT373" s="808"/>
      <c r="AU373" s="808"/>
      <c r="AV373" s="808"/>
      <c r="AW373" s="808"/>
      <c r="AX373" s="808"/>
      <c r="AY373" s="808"/>
      <c r="AZ373" s="808"/>
      <c r="BA373" s="808"/>
      <c r="BB373" s="808"/>
      <c r="BC373" s="808"/>
      <c r="BD373" s="808"/>
      <c r="BE373" s="808"/>
      <c r="BF373" s="808"/>
      <c r="BG373" s="808"/>
      <c r="BH373" s="808"/>
      <c r="BI373" s="808"/>
      <c r="BJ373" s="808"/>
      <c r="BK373" s="808"/>
      <c r="BL373" s="808"/>
      <c r="BM373" s="808"/>
      <c r="BN373" s="808"/>
      <c r="BO373" s="808"/>
      <c r="BP373" s="984"/>
      <c r="BQ373" s="984"/>
      <c r="BR373" s="984"/>
      <c r="BS373" s="984"/>
      <c r="BT373" s="984"/>
      <c r="BU373" s="984"/>
      <c r="BV373" s="984"/>
      <c r="BW373" s="984"/>
      <c r="BX373" s="984"/>
      <c r="BY373" s="984"/>
      <c r="BZ373" s="984"/>
      <c r="CA373" s="984"/>
      <c r="CB373" s="984"/>
      <c r="CC373" s="984"/>
      <c r="CD373" s="984"/>
      <c r="CE373" s="984"/>
      <c r="CF373" s="984"/>
      <c r="CG373" s="984"/>
      <c r="CH373" s="984"/>
      <c r="CI373" s="984"/>
      <c r="CJ373" s="984"/>
      <c r="CK373" s="984"/>
      <c r="CL373" s="984"/>
      <c r="CM373" s="984"/>
      <c r="CN373" s="984"/>
      <c r="CO373" s="984"/>
      <c r="CP373" s="984"/>
      <c r="CQ373" s="984"/>
      <c r="CR373" s="984"/>
      <c r="CS373" s="984"/>
      <c r="CT373" s="984"/>
      <c r="CU373" s="984"/>
      <c r="CV373" s="984"/>
      <c r="CW373" s="984"/>
      <c r="CX373" s="984"/>
      <c r="CY373" s="984"/>
      <c r="CZ373" s="984"/>
      <c r="DA373" s="984"/>
      <c r="DB373" s="984"/>
      <c r="DC373" s="984"/>
      <c r="DD373" s="984"/>
      <c r="DE373" s="984"/>
      <c r="DF373" s="984"/>
      <c r="DG373" s="984"/>
      <c r="DH373" s="984"/>
      <c r="DI373" s="984"/>
      <c r="DJ373" s="984"/>
      <c r="DK373" s="984"/>
      <c r="DL373" s="984"/>
      <c r="DM373" s="984"/>
      <c r="DN373" s="984"/>
      <c r="DO373" s="984"/>
      <c r="DP373" s="984"/>
    </row>
    <row r="374" spans="1:120">
      <c r="A374" s="821"/>
      <c r="B374" s="807"/>
      <c r="C374" s="808"/>
      <c r="K374" s="808"/>
      <c r="M374" s="808"/>
      <c r="N374" s="808"/>
      <c r="O374" s="808"/>
      <c r="P374" s="808"/>
      <c r="Q374" s="808"/>
      <c r="R374" s="808"/>
      <c r="S374" s="808"/>
      <c r="T374" s="808"/>
      <c r="U374" s="808"/>
      <c r="V374" s="808"/>
      <c r="W374" s="808"/>
      <c r="X374" s="808"/>
      <c r="Y374" s="808"/>
      <c r="Z374" s="808"/>
      <c r="AA374" s="808"/>
      <c r="AB374" s="808"/>
      <c r="AC374" s="808"/>
      <c r="AD374" s="808"/>
      <c r="AE374" s="808"/>
      <c r="AF374" s="808"/>
      <c r="AG374" s="808"/>
      <c r="AH374" s="808"/>
      <c r="AI374" s="808"/>
      <c r="AJ374" s="808"/>
      <c r="AK374" s="808"/>
      <c r="AL374" s="808"/>
      <c r="AM374" s="808"/>
      <c r="AN374" s="808"/>
      <c r="AO374" s="808"/>
      <c r="AP374" s="808"/>
      <c r="AQ374" s="808"/>
      <c r="AR374" s="808"/>
      <c r="AS374" s="808"/>
      <c r="AT374" s="808"/>
      <c r="AU374" s="808"/>
      <c r="AV374" s="808"/>
      <c r="AW374" s="808"/>
      <c r="AX374" s="808"/>
      <c r="AY374" s="808"/>
      <c r="AZ374" s="808"/>
      <c r="BA374" s="808"/>
      <c r="BB374" s="808"/>
      <c r="BC374" s="808"/>
      <c r="BD374" s="808"/>
      <c r="BE374" s="808"/>
      <c r="BF374" s="808"/>
      <c r="BG374" s="808"/>
      <c r="BH374" s="808"/>
      <c r="BI374" s="808"/>
      <c r="BJ374" s="808"/>
      <c r="BK374" s="808"/>
      <c r="BL374" s="808"/>
      <c r="BM374" s="808"/>
      <c r="BN374" s="808"/>
      <c r="BO374" s="808"/>
      <c r="BP374" s="808"/>
      <c r="BQ374" s="808"/>
      <c r="BR374" s="808"/>
      <c r="BS374" s="808"/>
      <c r="BT374" s="808"/>
      <c r="BU374" s="808"/>
      <c r="BV374" s="808"/>
      <c r="BW374" s="808"/>
      <c r="BX374" s="808"/>
      <c r="BY374" s="808"/>
      <c r="BZ374" s="808"/>
      <c r="CA374" s="808"/>
      <c r="CB374" s="808"/>
      <c r="CC374" s="808"/>
      <c r="CD374" s="808"/>
      <c r="CE374" s="808"/>
      <c r="CF374" s="808"/>
      <c r="CG374" s="808"/>
      <c r="CH374" s="808"/>
      <c r="CI374" s="808"/>
      <c r="CJ374" s="808"/>
      <c r="CK374" s="808"/>
      <c r="CL374" s="808"/>
      <c r="CM374" s="808"/>
      <c r="CN374" s="808"/>
      <c r="CO374" s="808"/>
      <c r="CP374" s="808"/>
      <c r="CQ374" s="808"/>
      <c r="CR374" s="808"/>
      <c r="CS374" s="808"/>
      <c r="CT374" s="808"/>
      <c r="CU374" s="808"/>
      <c r="CV374" s="808"/>
      <c r="CW374" s="808"/>
      <c r="CX374" s="808"/>
      <c r="CY374" s="808"/>
      <c r="CZ374" s="808"/>
      <c r="DA374" s="808"/>
      <c r="DB374" s="808"/>
      <c r="DC374" s="808"/>
      <c r="DD374" s="808"/>
      <c r="DE374" s="808"/>
      <c r="DF374" s="808"/>
      <c r="DG374" s="808"/>
      <c r="DH374" s="808"/>
      <c r="DI374" s="808"/>
      <c r="DJ374" s="808"/>
      <c r="DK374" s="808"/>
      <c r="DL374" s="808"/>
      <c r="DM374" s="808"/>
      <c r="DN374" s="808"/>
      <c r="DO374" s="808"/>
      <c r="DP374" s="808"/>
    </row>
    <row r="375" spans="1:120">
      <c r="A375" s="821"/>
      <c r="B375" s="807"/>
      <c r="C375" s="808"/>
      <c r="K375" s="808"/>
      <c r="M375" s="808"/>
      <c r="N375" s="808"/>
      <c r="O375" s="808"/>
      <c r="P375" s="808"/>
      <c r="Q375" s="808"/>
      <c r="R375" s="808"/>
      <c r="S375" s="808"/>
      <c r="T375" s="808"/>
      <c r="U375" s="808"/>
      <c r="V375" s="808"/>
      <c r="W375" s="808"/>
      <c r="X375" s="808"/>
      <c r="Y375" s="808"/>
      <c r="Z375" s="808"/>
      <c r="AA375" s="808"/>
      <c r="AB375" s="808"/>
      <c r="AC375" s="808"/>
      <c r="AD375" s="808"/>
      <c r="AE375" s="808"/>
      <c r="AF375" s="808"/>
      <c r="AG375" s="808"/>
      <c r="AH375" s="808"/>
      <c r="AI375" s="808"/>
      <c r="AJ375" s="808"/>
      <c r="AK375" s="808"/>
      <c r="AL375" s="808"/>
      <c r="AM375" s="808"/>
      <c r="AN375" s="808"/>
      <c r="AO375" s="808"/>
      <c r="AP375" s="808"/>
      <c r="AQ375" s="808"/>
      <c r="AR375" s="808"/>
      <c r="AS375" s="808"/>
      <c r="AT375" s="808"/>
      <c r="AU375" s="808"/>
      <c r="AV375" s="808"/>
      <c r="AW375" s="808"/>
      <c r="AX375" s="808"/>
      <c r="AY375" s="808"/>
      <c r="AZ375" s="808"/>
      <c r="BA375" s="808"/>
      <c r="BB375" s="808"/>
      <c r="BC375" s="808"/>
      <c r="BD375" s="808"/>
      <c r="BE375" s="808"/>
      <c r="BF375" s="808"/>
      <c r="BG375" s="808"/>
      <c r="BH375" s="808"/>
      <c r="BI375" s="808"/>
      <c r="BJ375" s="808"/>
      <c r="BK375" s="808"/>
      <c r="BL375" s="808"/>
      <c r="BM375" s="808"/>
      <c r="BN375" s="808"/>
      <c r="BO375" s="808"/>
      <c r="BP375" s="808"/>
      <c r="BQ375" s="808"/>
      <c r="BR375" s="808"/>
      <c r="BS375" s="808"/>
      <c r="BT375" s="808"/>
      <c r="BU375" s="808"/>
      <c r="BV375" s="808"/>
      <c r="BW375" s="808"/>
      <c r="BX375" s="808"/>
      <c r="BY375" s="808"/>
      <c r="BZ375" s="808"/>
      <c r="CA375" s="808"/>
      <c r="CB375" s="808"/>
      <c r="CC375" s="808"/>
      <c r="CD375" s="808"/>
      <c r="CE375" s="808"/>
      <c r="CF375" s="808"/>
      <c r="CG375" s="808"/>
      <c r="CH375" s="808"/>
      <c r="CI375" s="808"/>
      <c r="CJ375" s="808"/>
      <c r="CK375" s="808"/>
      <c r="CL375" s="808"/>
      <c r="CM375" s="808"/>
      <c r="CN375" s="808"/>
      <c r="CO375" s="808"/>
      <c r="CP375" s="808"/>
      <c r="CQ375" s="808"/>
      <c r="CR375" s="808"/>
      <c r="CS375" s="808"/>
      <c r="CT375" s="808"/>
      <c r="CU375" s="808"/>
      <c r="CV375" s="808"/>
      <c r="CW375" s="808"/>
      <c r="CX375" s="808"/>
      <c r="CY375" s="808"/>
      <c r="CZ375" s="808"/>
      <c r="DA375" s="808"/>
      <c r="DB375" s="808"/>
      <c r="DC375" s="808"/>
      <c r="DD375" s="808"/>
      <c r="DE375" s="808"/>
      <c r="DF375" s="808"/>
      <c r="DG375" s="808"/>
      <c r="DH375" s="808"/>
      <c r="DI375" s="808"/>
      <c r="DJ375" s="808"/>
      <c r="DK375" s="808"/>
      <c r="DL375" s="808"/>
      <c r="DM375" s="808"/>
      <c r="DN375" s="808"/>
      <c r="DO375" s="808"/>
      <c r="DP375" s="808"/>
    </row>
    <row r="376" spans="1:120">
      <c r="A376" s="821"/>
      <c r="B376" s="807"/>
      <c r="C376" s="808"/>
      <c r="K376" s="808"/>
      <c r="M376" s="808"/>
      <c r="N376" s="808"/>
      <c r="O376" s="808"/>
      <c r="P376" s="808"/>
      <c r="Q376" s="808"/>
      <c r="R376" s="808"/>
      <c r="S376" s="808"/>
      <c r="T376" s="808"/>
      <c r="U376" s="808"/>
      <c r="V376" s="808"/>
      <c r="W376" s="808"/>
      <c r="X376" s="808"/>
      <c r="Y376" s="808"/>
      <c r="Z376" s="808"/>
      <c r="AA376" s="808"/>
      <c r="AB376" s="808"/>
      <c r="AC376" s="808"/>
      <c r="AD376" s="808"/>
      <c r="AE376" s="808"/>
      <c r="AF376" s="808"/>
      <c r="AG376" s="808"/>
      <c r="AH376" s="808"/>
      <c r="AI376" s="808"/>
      <c r="AJ376" s="808"/>
      <c r="AK376" s="808"/>
      <c r="AL376" s="808"/>
      <c r="AM376" s="808"/>
      <c r="AN376" s="808"/>
      <c r="AO376" s="808"/>
      <c r="AP376" s="808"/>
      <c r="AQ376" s="808"/>
      <c r="AR376" s="808"/>
      <c r="AS376" s="808"/>
      <c r="AT376" s="808"/>
      <c r="AU376" s="808"/>
      <c r="AV376" s="808"/>
      <c r="AW376" s="808"/>
      <c r="AX376" s="808"/>
      <c r="AY376" s="808"/>
      <c r="AZ376" s="808"/>
      <c r="BA376" s="808"/>
      <c r="BB376" s="808"/>
      <c r="BC376" s="808"/>
      <c r="BD376" s="808"/>
      <c r="BE376" s="808"/>
      <c r="BF376" s="808"/>
      <c r="BG376" s="808"/>
      <c r="BH376" s="808"/>
      <c r="BI376" s="808"/>
      <c r="BJ376" s="808"/>
      <c r="BK376" s="808"/>
      <c r="BL376" s="808"/>
      <c r="BM376" s="808"/>
      <c r="BN376" s="808"/>
      <c r="BO376" s="808"/>
      <c r="BP376" s="808"/>
      <c r="BQ376" s="808"/>
      <c r="BR376" s="808"/>
      <c r="BS376" s="808"/>
      <c r="BT376" s="808"/>
      <c r="BU376" s="808"/>
      <c r="BV376" s="808"/>
      <c r="BW376" s="808"/>
      <c r="BX376" s="808"/>
      <c r="BY376" s="808"/>
      <c r="BZ376" s="808"/>
      <c r="CA376" s="808"/>
      <c r="CB376" s="808"/>
      <c r="CC376" s="808"/>
      <c r="CD376" s="808"/>
      <c r="CE376" s="808"/>
      <c r="CF376" s="808"/>
      <c r="CG376" s="808"/>
      <c r="CH376" s="808"/>
      <c r="CI376" s="808"/>
      <c r="CJ376" s="808"/>
      <c r="CK376" s="808"/>
      <c r="CL376" s="808"/>
      <c r="CM376" s="808"/>
      <c r="CN376" s="808"/>
      <c r="CO376" s="808"/>
      <c r="CP376" s="808"/>
      <c r="CQ376" s="808"/>
      <c r="CR376" s="808"/>
      <c r="CS376" s="808"/>
      <c r="CT376" s="808"/>
      <c r="CU376" s="808"/>
      <c r="CV376" s="808"/>
      <c r="CW376" s="808"/>
      <c r="CX376" s="808"/>
      <c r="CY376" s="808"/>
      <c r="CZ376" s="808"/>
      <c r="DA376" s="808"/>
      <c r="DB376" s="808"/>
      <c r="DC376" s="808"/>
      <c r="DD376" s="808"/>
      <c r="DE376" s="808"/>
      <c r="DF376" s="808"/>
      <c r="DG376" s="808"/>
      <c r="DH376" s="808"/>
      <c r="DI376" s="808"/>
      <c r="DJ376" s="808"/>
      <c r="DK376" s="808"/>
      <c r="DL376" s="808"/>
      <c r="DM376" s="808"/>
      <c r="DN376" s="808"/>
      <c r="DO376" s="808"/>
      <c r="DP376" s="808"/>
    </row>
    <row r="377" spans="1:120">
      <c r="A377" s="821"/>
      <c r="B377" s="846" t="s">
        <v>1377</v>
      </c>
      <c r="C377" s="808"/>
      <c r="K377" s="808"/>
      <c r="M377" s="808"/>
      <c r="N377" s="808"/>
      <c r="O377" s="808"/>
      <c r="P377" s="808"/>
      <c r="Q377" s="808"/>
      <c r="R377" s="808"/>
      <c r="S377" s="808"/>
      <c r="T377" s="808"/>
      <c r="U377" s="808"/>
      <c r="V377" s="808"/>
      <c r="W377" s="808"/>
      <c r="X377" s="808"/>
      <c r="Y377" s="808"/>
      <c r="Z377" s="808"/>
      <c r="AA377" s="808"/>
      <c r="AB377" s="808"/>
      <c r="AC377" s="808"/>
      <c r="AD377" s="808"/>
      <c r="AE377" s="808"/>
      <c r="AF377" s="808"/>
      <c r="AG377" s="808"/>
      <c r="AH377" s="808"/>
      <c r="AI377" s="808"/>
      <c r="AJ377" s="808"/>
      <c r="AK377" s="808"/>
      <c r="AL377" s="808"/>
      <c r="AM377" s="808"/>
      <c r="AN377" s="808"/>
      <c r="AO377" s="808"/>
      <c r="AP377" s="808"/>
      <c r="AQ377" s="808"/>
      <c r="AR377" s="808"/>
      <c r="AS377" s="808"/>
      <c r="AT377" s="808"/>
      <c r="AU377" s="808"/>
      <c r="AV377" s="808"/>
      <c r="AW377" s="808"/>
      <c r="AX377" s="808"/>
      <c r="AY377" s="808"/>
      <c r="AZ377" s="808"/>
      <c r="BA377" s="808"/>
      <c r="BB377" s="808"/>
      <c r="BC377" s="808"/>
      <c r="BD377" s="808"/>
      <c r="BE377" s="808"/>
      <c r="BF377" s="808"/>
      <c r="BG377" s="808"/>
      <c r="BH377" s="808"/>
      <c r="BI377" s="808"/>
      <c r="BJ377" s="808"/>
      <c r="BK377" s="808"/>
      <c r="BL377" s="808"/>
      <c r="BM377" s="808"/>
      <c r="BN377" s="808"/>
      <c r="BO377" s="808"/>
      <c r="BP377" s="808"/>
      <c r="BQ377" s="808"/>
      <c r="BR377" s="808"/>
      <c r="BS377" s="808"/>
      <c r="BT377" s="808"/>
      <c r="BU377" s="808"/>
      <c r="BV377" s="808"/>
      <c r="BW377" s="808"/>
      <c r="BX377" s="808"/>
      <c r="BY377" s="808"/>
      <c r="BZ377" s="808"/>
      <c r="CA377" s="808"/>
      <c r="CB377" s="808"/>
      <c r="CC377" s="808"/>
      <c r="CD377" s="808"/>
      <c r="CE377" s="808"/>
      <c r="CF377" s="808"/>
      <c r="CG377" s="808"/>
      <c r="CH377" s="808"/>
      <c r="CI377" s="808"/>
      <c r="CJ377" s="808"/>
      <c r="CK377" s="808"/>
      <c r="CL377" s="808"/>
      <c r="CM377" s="808"/>
      <c r="CN377" s="808"/>
      <c r="CO377" s="808"/>
      <c r="CP377" s="808"/>
      <c r="CQ377" s="808"/>
      <c r="CR377" s="808"/>
      <c r="CS377" s="808"/>
      <c r="CT377" s="808"/>
      <c r="CU377" s="808"/>
      <c r="CV377" s="808"/>
      <c r="CW377" s="808"/>
      <c r="CX377" s="808"/>
      <c r="CY377" s="808"/>
      <c r="CZ377" s="808"/>
      <c r="DA377" s="808"/>
      <c r="DB377" s="808"/>
      <c r="DC377" s="808"/>
      <c r="DD377" s="808"/>
      <c r="DE377" s="808"/>
      <c r="DF377" s="808"/>
      <c r="DG377" s="808"/>
      <c r="DH377" s="808"/>
      <c r="DI377" s="808"/>
      <c r="DJ377" s="808"/>
      <c r="DK377" s="808"/>
      <c r="DL377" s="808"/>
      <c r="DM377" s="808"/>
      <c r="DN377" s="808"/>
      <c r="DO377" s="808"/>
      <c r="DP377" s="808"/>
    </row>
    <row r="378" spans="1:120">
      <c r="A378" s="821"/>
      <c r="B378" s="807"/>
      <c r="C378" s="808"/>
      <c r="K378" s="818" t="s">
        <v>1203</v>
      </c>
      <c r="M378" s="808"/>
      <c r="N378" s="808"/>
      <c r="O378" s="808"/>
      <c r="P378" s="808"/>
      <c r="Q378" s="808"/>
      <c r="R378" s="808"/>
      <c r="S378" s="808"/>
      <c r="T378" s="808"/>
      <c r="U378" s="808"/>
      <c r="V378" s="808"/>
      <c r="W378" s="808"/>
      <c r="X378" s="808"/>
      <c r="Y378" s="808"/>
      <c r="Z378" s="808"/>
      <c r="AA378" s="808"/>
      <c r="AB378" s="808"/>
      <c r="AC378" s="808"/>
      <c r="AD378" s="808"/>
      <c r="AE378" s="808"/>
      <c r="AF378" s="808"/>
      <c r="AG378" s="808"/>
      <c r="AH378" s="808"/>
      <c r="AI378" s="808"/>
      <c r="AJ378" s="808"/>
      <c r="AK378" s="808"/>
      <c r="AL378" s="808"/>
      <c r="AM378" s="808"/>
      <c r="AN378" s="808"/>
      <c r="AO378" s="808"/>
      <c r="AP378" s="808"/>
      <c r="AQ378" s="808"/>
      <c r="AR378" s="808"/>
      <c r="AS378" s="808"/>
      <c r="AT378" s="808"/>
      <c r="AU378" s="808"/>
      <c r="AV378" s="808"/>
      <c r="AW378" s="808"/>
      <c r="AX378" s="808"/>
      <c r="AY378" s="808"/>
      <c r="AZ378" s="808"/>
      <c r="BA378" s="808"/>
      <c r="BB378" s="808"/>
      <c r="BC378" s="808"/>
      <c r="BD378" s="808"/>
      <c r="BE378" s="808"/>
      <c r="BF378" s="808"/>
      <c r="BG378" s="808"/>
      <c r="BH378" s="808"/>
      <c r="BI378" s="808"/>
      <c r="BJ378" s="808"/>
      <c r="BK378" s="808"/>
      <c r="BL378" s="808"/>
      <c r="BM378" s="808"/>
      <c r="BN378" s="808"/>
      <c r="BO378" s="808"/>
      <c r="BP378" s="808"/>
      <c r="BQ378" s="808"/>
      <c r="BR378" s="808"/>
      <c r="BS378" s="808"/>
      <c r="BT378" s="808"/>
      <c r="BU378" s="808"/>
      <c r="BV378" s="808"/>
      <c r="BW378" s="808"/>
      <c r="BX378" s="808"/>
      <c r="BY378" s="808"/>
      <c r="BZ378" s="808"/>
      <c r="CA378" s="808"/>
      <c r="CB378" s="808"/>
      <c r="CC378" s="808"/>
      <c r="CD378" s="808"/>
      <c r="CE378" s="808"/>
      <c r="CF378" s="808"/>
      <c r="CG378" s="808"/>
      <c r="CH378" s="808"/>
      <c r="CI378" s="808"/>
      <c r="CJ378" s="808"/>
      <c r="CK378" s="808"/>
      <c r="CL378" s="808"/>
      <c r="CM378" s="808"/>
      <c r="CN378" s="808"/>
      <c r="CO378" s="808"/>
      <c r="CP378" s="808"/>
      <c r="CQ378" s="808"/>
      <c r="CR378" s="808"/>
      <c r="CS378" s="808"/>
      <c r="CT378" s="808"/>
      <c r="CU378" s="808"/>
      <c r="CV378" s="808"/>
      <c r="CW378" s="808"/>
      <c r="CX378" s="808"/>
      <c r="CY378" s="808"/>
      <c r="CZ378" s="808"/>
      <c r="DA378" s="808"/>
      <c r="DB378" s="808"/>
      <c r="DC378" s="808"/>
      <c r="DD378" s="808"/>
      <c r="DE378" s="808"/>
      <c r="DF378" s="808"/>
      <c r="DG378" s="808"/>
      <c r="DH378" s="808"/>
      <c r="DI378" s="808"/>
      <c r="DJ378" s="808"/>
      <c r="DK378" s="808"/>
      <c r="DL378" s="808"/>
    </row>
    <row r="379" spans="1:120" ht="26.4">
      <c r="A379" s="821"/>
      <c r="B379" s="811" t="s">
        <v>79</v>
      </c>
      <c r="C379" s="811" t="s">
        <v>5</v>
      </c>
      <c r="D379" s="812" t="s">
        <v>195</v>
      </c>
      <c r="E379" s="812" t="s">
        <v>1378</v>
      </c>
      <c r="F379" s="812" t="s">
        <v>463</v>
      </c>
      <c r="G379" s="812" t="s">
        <v>1379</v>
      </c>
      <c r="H379" s="812" t="s">
        <v>465</v>
      </c>
      <c r="I379" s="812" t="s">
        <v>466</v>
      </c>
      <c r="J379" s="812" t="s">
        <v>199</v>
      </c>
      <c r="K379" s="811" t="s">
        <v>195</v>
      </c>
      <c r="M379" s="808"/>
      <c r="N379" s="808"/>
      <c r="O379" s="808"/>
      <c r="P379" s="808"/>
      <c r="Q379" s="808"/>
      <c r="R379" s="808"/>
      <c r="S379" s="808"/>
      <c r="T379" s="808"/>
      <c r="U379" s="808"/>
      <c r="V379" s="808"/>
      <c r="W379" s="808"/>
      <c r="X379" s="808"/>
      <c r="Y379" s="808"/>
      <c r="Z379" s="808"/>
      <c r="AA379" s="808"/>
      <c r="AB379" s="808"/>
      <c r="AC379" s="808"/>
      <c r="AD379" s="808"/>
      <c r="AE379" s="808"/>
      <c r="AF379" s="808"/>
      <c r="AG379" s="808"/>
      <c r="AH379" s="808"/>
      <c r="AI379" s="808"/>
      <c r="AJ379" s="808"/>
      <c r="AK379" s="808"/>
      <c r="AL379" s="808"/>
      <c r="AM379" s="808"/>
      <c r="AN379" s="808"/>
      <c r="AO379" s="808"/>
      <c r="AP379" s="808"/>
      <c r="AQ379" s="808"/>
      <c r="AR379" s="808"/>
      <c r="AS379" s="808"/>
      <c r="AT379" s="808"/>
      <c r="AU379" s="808"/>
      <c r="AV379" s="808"/>
      <c r="AW379" s="808"/>
      <c r="AX379" s="808"/>
      <c r="AY379" s="808"/>
      <c r="AZ379" s="808"/>
      <c r="BA379" s="808"/>
      <c r="BB379" s="808"/>
      <c r="BC379" s="808"/>
      <c r="BD379" s="808"/>
      <c r="BE379" s="808"/>
      <c r="BF379" s="808"/>
      <c r="BG379" s="808"/>
      <c r="BH379" s="808"/>
      <c r="BI379" s="808"/>
      <c r="BJ379" s="808"/>
      <c r="BK379" s="808"/>
      <c r="BL379" s="808"/>
      <c r="BM379" s="808"/>
      <c r="BN379" s="808"/>
      <c r="BO379" s="808"/>
      <c r="BP379" s="808"/>
      <c r="BQ379" s="808"/>
      <c r="BR379" s="808"/>
      <c r="BS379" s="808"/>
      <c r="BT379" s="808"/>
      <c r="BU379" s="808"/>
      <c r="BV379" s="808"/>
      <c r="BW379" s="808"/>
      <c r="BX379" s="808"/>
      <c r="BY379" s="808"/>
      <c r="BZ379" s="808"/>
      <c r="CA379" s="808"/>
      <c r="CB379" s="808"/>
      <c r="CC379" s="808"/>
      <c r="CD379" s="808"/>
      <c r="CE379" s="808"/>
      <c r="CF379" s="808"/>
      <c r="CG379" s="808"/>
      <c r="CH379" s="808"/>
      <c r="CI379" s="808"/>
      <c r="CJ379" s="808"/>
      <c r="CK379" s="808"/>
      <c r="CL379" s="808"/>
      <c r="CM379" s="808"/>
      <c r="CN379" s="808"/>
      <c r="CO379" s="808"/>
      <c r="CP379" s="808"/>
      <c r="CQ379" s="808"/>
      <c r="CR379" s="808"/>
      <c r="CS379" s="808"/>
      <c r="CT379" s="808"/>
      <c r="CU379" s="808"/>
      <c r="CV379" s="808"/>
      <c r="CW379" s="808"/>
      <c r="CX379" s="808"/>
      <c r="CY379" s="808"/>
      <c r="CZ379" s="808"/>
      <c r="DA379" s="808"/>
      <c r="DB379" s="808"/>
      <c r="DC379" s="808"/>
      <c r="DD379" s="808"/>
      <c r="DE379" s="808"/>
      <c r="DF379" s="808"/>
      <c r="DG379" s="808"/>
      <c r="DH379" s="808"/>
      <c r="DI379" s="808"/>
      <c r="DJ379" s="808"/>
      <c r="DK379" s="808"/>
      <c r="DL379" s="808"/>
    </row>
    <row r="380" spans="1:120">
      <c r="B380" s="813" t="s">
        <v>1201</v>
      </c>
      <c r="C380" s="816" t="s">
        <v>470</v>
      </c>
      <c r="D380" s="815">
        <v>0</v>
      </c>
      <c r="E380" s="815">
        <v>0</v>
      </c>
      <c r="F380" s="815">
        <v>0</v>
      </c>
      <c r="G380" s="815">
        <v>0</v>
      </c>
      <c r="H380" s="815">
        <v>0</v>
      </c>
      <c r="I380" s="815">
        <v>0</v>
      </c>
      <c r="J380" s="815">
        <f>SUM(D380:I380)</f>
        <v>0</v>
      </c>
      <c r="K380" s="815">
        <v>0</v>
      </c>
      <c r="M380" s="214"/>
      <c r="N380" s="214"/>
    </row>
    <row r="381" spans="1:120">
      <c r="B381" s="813" t="s">
        <v>150</v>
      </c>
      <c r="C381" s="814" t="s">
        <v>248</v>
      </c>
      <c r="D381" s="815">
        <v>0</v>
      </c>
      <c r="E381" s="815">
        <v>0</v>
      </c>
      <c r="F381" s="815">
        <v>0</v>
      </c>
      <c r="G381" s="815">
        <v>0</v>
      </c>
      <c r="H381" s="815">
        <v>0</v>
      </c>
      <c r="I381" s="815">
        <v>0</v>
      </c>
      <c r="J381" s="815">
        <f t="shared" ref="J381:J407" si="31">SUM(D381:I381)</f>
        <v>0</v>
      </c>
      <c r="K381" s="815">
        <v>0</v>
      </c>
      <c r="M381" s="214"/>
      <c r="N381" s="214"/>
    </row>
    <row r="382" spans="1:120">
      <c r="B382" s="813" t="s">
        <v>948</v>
      </c>
      <c r="C382" s="814" t="s">
        <v>249</v>
      </c>
      <c r="D382" s="815">
        <v>0</v>
      </c>
      <c r="E382" s="815">
        <v>6095319.0099999998</v>
      </c>
      <c r="F382" s="815">
        <v>0</v>
      </c>
      <c r="G382" s="815">
        <f>+N383</f>
        <v>13541009.652860001</v>
      </c>
      <c r="H382" s="815">
        <v>0</v>
      </c>
      <c r="I382" s="815">
        <v>0</v>
      </c>
      <c r="J382" s="815">
        <f t="shared" si="31"/>
        <v>19636328.662859999</v>
      </c>
      <c r="K382" s="815">
        <v>0</v>
      </c>
      <c r="L382" s="214">
        <f>+M382-J382</f>
        <v>-4.5399963855743408E-3</v>
      </c>
      <c r="M382" s="214">
        <f>+E72</f>
        <v>19636328.658320002</v>
      </c>
      <c r="N382" s="214">
        <v>13541009652.860001</v>
      </c>
    </row>
    <row r="383" spans="1:120">
      <c r="B383" s="813" t="s">
        <v>1231</v>
      </c>
      <c r="C383" s="814" t="s">
        <v>1380</v>
      </c>
      <c r="D383" s="815">
        <v>0</v>
      </c>
      <c r="E383" s="815">
        <v>0</v>
      </c>
      <c r="F383" s="815">
        <v>0</v>
      </c>
      <c r="G383" s="815">
        <v>0</v>
      </c>
      <c r="H383" s="815">
        <v>0</v>
      </c>
      <c r="I383" s="815">
        <v>0</v>
      </c>
      <c r="J383" s="815">
        <f t="shared" si="31"/>
        <v>0</v>
      </c>
      <c r="K383" s="815">
        <v>0</v>
      </c>
      <c r="L383" s="214">
        <f t="shared" ref="L383:L408" si="32">+M383-J383</f>
        <v>0</v>
      </c>
      <c r="M383" s="214"/>
      <c r="N383" s="214">
        <f>+N382/1000</f>
        <v>13541009.652860001</v>
      </c>
    </row>
    <row r="384" spans="1:120">
      <c r="B384" s="813" t="s">
        <v>1232</v>
      </c>
      <c r="C384" s="814" t="s">
        <v>472</v>
      </c>
      <c r="D384" s="815">
        <v>0</v>
      </c>
      <c r="E384" s="815">
        <v>0</v>
      </c>
      <c r="F384" s="815">
        <v>0</v>
      </c>
      <c r="G384" s="815">
        <v>0</v>
      </c>
      <c r="H384" s="815">
        <v>0</v>
      </c>
      <c r="I384" s="815">
        <v>0</v>
      </c>
      <c r="J384" s="815">
        <f t="shared" si="31"/>
        <v>0</v>
      </c>
      <c r="K384" s="815">
        <v>0</v>
      </c>
      <c r="L384" s="214">
        <f t="shared" si="32"/>
        <v>0</v>
      </c>
      <c r="M384" s="214"/>
      <c r="N384" s="214"/>
    </row>
    <row r="385" spans="1:116">
      <c r="B385" s="813" t="s">
        <v>949</v>
      </c>
      <c r="C385" s="814" t="s">
        <v>1381</v>
      </c>
      <c r="D385" s="815">
        <v>0</v>
      </c>
      <c r="E385" s="815">
        <v>11119312.890000001</v>
      </c>
      <c r="F385" s="815">
        <v>0</v>
      </c>
      <c r="G385" s="815">
        <v>4391984.5999999996</v>
      </c>
      <c r="H385" s="815">
        <v>0</v>
      </c>
      <c r="I385" s="815">
        <v>0</v>
      </c>
      <c r="J385" s="815">
        <f t="shared" si="31"/>
        <v>15511297.49</v>
      </c>
      <c r="K385" s="815">
        <v>0</v>
      </c>
      <c r="L385" s="214">
        <f t="shared" si="32"/>
        <v>2266836.697350001</v>
      </c>
      <c r="M385" s="214">
        <f>+F72</f>
        <v>17778134.187350001</v>
      </c>
      <c r="N385" s="214"/>
    </row>
    <row r="386" spans="1:116">
      <c r="B386" s="813" t="s">
        <v>1242</v>
      </c>
      <c r="C386" s="814" t="s">
        <v>251</v>
      </c>
      <c r="D386" s="815">
        <v>0</v>
      </c>
      <c r="E386" s="815">
        <v>263188.69</v>
      </c>
      <c r="F386" s="815">
        <v>0</v>
      </c>
      <c r="G386" s="815">
        <v>0</v>
      </c>
      <c r="H386" s="815">
        <v>0</v>
      </c>
      <c r="I386" s="815">
        <v>0</v>
      </c>
      <c r="J386" s="815">
        <f t="shared" si="31"/>
        <v>263188.69</v>
      </c>
      <c r="K386" s="815">
        <v>0</v>
      </c>
      <c r="L386" s="214">
        <f t="shared" si="32"/>
        <v>3.5500000230967999E-3</v>
      </c>
      <c r="M386" s="214">
        <f>+G72</f>
        <v>263188.69355000003</v>
      </c>
      <c r="N386" s="214"/>
    </row>
    <row r="387" spans="1:116">
      <c r="B387" s="813" t="s">
        <v>1244</v>
      </c>
      <c r="C387" s="814" t="s">
        <v>252</v>
      </c>
      <c r="D387" s="815">
        <v>0</v>
      </c>
      <c r="E387" s="815">
        <v>453060.25</v>
      </c>
      <c r="F387" s="815">
        <v>0</v>
      </c>
      <c r="G387" s="815">
        <v>0</v>
      </c>
      <c r="H387" s="815">
        <v>0</v>
      </c>
      <c r="I387" s="815">
        <v>0</v>
      </c>
      <c r="J387" s="815">
        <f t="shared" si="31"/>
        <v>453060.25</v>
      </c>
      <c r="K387" s="815">
        <v>0</v>
      </c>
      <c r="L387" s="214">
        <f t="shared" si="32"/>
        <v>1.5300000086426735E-3</v>
      </c>
      <c r="M387" s="214">
        <f>+H72</f>
        <v>453060.25153000001</v>
      </c>
      <c r="N387" s="214"/>
    </row>
    <row r="388" spans="1:116">
      <c r="B388" s="813" t="s">
        <v>1246</v>
      </c>
      <c r="C388" s="814" t="s">
        <v>253</v>
      </c>
      <c r="D388" s="815">
        <v>0</v>
      </c>
      <c r="E388" s="815">
        <v>425339.23</v>
      </c>
      <c r="F388" s="815">
        <v>0</v>
      </c>
      <c r="G388" s="815">
        <v>0</v>
      </c>
      <c r="H388" s="815">
        <v>0</v>
      </c>
      <c r="I388" s="815">
        <v>0</v>
      </c>
      <c r="J388" s="815">
        <f t="shared" si="31"/>
        <v>425339.23</v>
      </c>
      <c r="K388" s="815">
        <v>0</v>
      </c>
      <c r="L388" s="214">
        <f t="shared" si="32"/>
        <v>-4.19000000692904E-3</v>
      </c>
      <c r="M388" s="214">
        <f>+I72</f>
        <v>425339.22580999997</v>
      </c>
      <c r="N388" s="214"/>
    </row>
    <row r="389" spans="1:116">
      <c r="B389" s="813" t="s">
        <v>1382</v>
      </c>
      <c r="C389" s="814" t="s">
        <v>18</v>
      </c>
      <c r="D389" s="815">
        <v>0</v>
      </c>
      <c r="E389" s="815"/>
      <c r="F389" s="815">
        <v>0</v>
      </c>
      <c r="G389" s="815">
        <v>0</v>
      </c>
      <c r="H389" s="815">
        <v>0</v>
      </c>
      <c r="I389" s="815">
        <v>0</v>
      </c>
      <c r="J389" s="815">
        <f t="shared" si="31"/>
        <v>0</v>
      </c>
      <c r="K389" s="815">
        <v>0</v>
      </c>
      <c r="L389" s="214">
        <f t="shared" si="32"/>
        <v>0</v>
      </c>
      <c r="M389" s="214"/>
      <c r="N389" s="214"/>
    </row>
    <row r="390" spans="1:116">
      <c r="B390" s="813" t="s">
        <v>1383</v>
      </c>
      <c r="C390" s="814" t="s">
        <v>1384</v>
      </c>
      <c r="D390" s="815">
        <v>0</v>
      </c>
      <c r="E390" s="815"/>
      <c r="F390" s="815">
        <v>0</v>
      </c>
      <c r="G390" s="815">
        <v>0</v>
      </c>
      <c r="H390" s="815">
        <v>0</v>
      </c>
      <c r="I390" s="815">
        <v>0</v>
      </c>
      <c r="J390" s="815">
        <f t="shared" si="31"/>
        <v>0</v>
      </c>
      <c r="K390" s="815">
        <v>0</v>
      </c>
      <c r="L390" s="214">
        <f t="shared" si="32"/>
        <v>0</v>
      </c>
      <c r="M390" s="214"/>
      <c r="N390" s="214"/>
    </row>
    <row r="391" spans="1:116">
      <c r="B391" s="813" t="s">
        <v>1385</v>
      </c>
      <c r="C391" s="814" t="s">
        <v>1386</v>
      </c>
      <c r="D391" s="815">
        <v>0</v>
      </c>
      <c r="E391" s="815"/>
      <c r="F391" s="815">
        <v>0</v>
      </c>
      <c r="G391" s="815">
        <v>0</v>
      </c>
      <c r="H391" s="815">
        <v>0</v>
      </c>
      <c r="I391" s="815">
        <v>0</v>
      </c>
      <c r="J391" s="815">
        <f t="shared" si="31"/>
        <v>0</v>
      </c>
      <c r="K391" s="815">
        <v>0</v>
      </c>
      <c r="L391" s="214">
        <f t="shared" si="32"/>
        <v>0</v>
      </c>
      <c r="M391" s="214"/>
      <c r="N391" s="214"/>
    </row>
    <row r="392" spans="1:116">
      <c r="B392" s="813" t="s">
        <v>1387</v>
      </c>
      <c r="C392" s="816" t="s">
        <v>1388</v>
      </c>
      <c r="D392" s="815">
        <v>0</v>
      </c>
      <c r="E392" s="815">
        <f>SUM(E380:E391)</f>
        <v>18356220.07</v>
      </c>
      <c r="F392" s="815">
        <f t="shared" ref="F392:J392" si="33">SUM(F380:F391)</f>
        <v>0</v>
      </c>
      <c r="G392" s="815">
        <f t="shared" si="33"/>
        <v>17932994.252860002</v>
      </c>
      <c r="H392" s="815">
        <f t="shared" si="33"/>
        <v>0</v>
      </c>
      <c r="I392" s="815">
        <f t="shared" si="33"/>
        <v>0</v>
      </c>
      <c r="J392" s="815">
        <f t="shared" si="33"/>
        <v>36289214.322859995</v>
      </c>
      <c r="K392" s="815">
        <v>0</v>
      </c>
      <c r="L392" s="214">
        <f t="shared" si="32"/>
        <v>2266836.6937000006</v>
      </c>
      <c r="M392" s="214">
        <f>SUM(M382:M391)</f>
        <v>38556051.016559996</v>
      </c>
      <c r="N392" s="214"/>
    </row>
    <row r="393" spans="1:116">
      <c r="B393" s="813" t="s">
        <v>1201</v>
      </c>
      <c r="C393" s="816" t="s">
        <v>1389</v>
      </c>
      <c r="D393" s="815">
        <v>0</v>
      </c>
      <c r="E393" s="815">
        <v>0</v>
      </c>
      <c r="F393" s="815">
        <v>0</v>
      </c>
      <c r="G393" s="815">
        <v>0</v>
      </c>
      <c r="H393" s="815">
        <v>0</v>
      </c>
      <c r="I393" s="815">
        <v>0</v>
      </c>
      <c r="J393" s="815">
        <f t="shared" si="31"/>
        <v>0</v>
      </c>
      <c r="K393" s="815">
        <v>0</v>
      </c>
      <c r="L393" s="214">
        <f t="shared" si="32"/>
        <v>0</v>
      </c>
      <c r="M393" s="214"/>
      <c r="N393" s="214"/>
    </row>
    <row r="394" spans="1:116">
      <c r="B394" s="813" t="s">
        <v>951</v>
      </c>
      <c r="C394" s="814" t="s">
        <v>274</v>
      </c>
      <c r="D394" s="815">
        <v>0</v>
      </c>
      <c r="E394" s="815">
        <v>0</v>
      </c>
      <c r="F394" s="815">
        <v>0</v>
      </c>
      <c r="G394" s="815">
        <v>0</v>
      </c>
      <c r="H394" s="815">
        <v>0</v>
      </c>
      <c r="I394" s="815">
        <v>0</v>
      </c>
      <c r="J394" s="815">
        <f t="shared" si="31"/>
        <v>0</v>
      </c>
      <c r="K394" s="815">
        <v>0</v>
      </c>
      <c r="L394" s="214">
        <f t="shared" si="32"/>
        <v>0</v>
      </c>
      <c r="M394" s="214"/>
      <c r="N394" s="214"/>
    </row>
    <row r="395" spans="1:116">
      <c r="B395" s="813" t="s">
        <v>953</v>
      </c>
      <c r="C395" s="814" t="s">
        <v>1262</v>
      </c>
      <c r="D395" s="815">
        <v>0</v>
      </c>
      <c r="E395" s="815">
        <f>+E396</f>
        <v>80959.216780000002</v>
      </c>
      <c r="F395" s="815">
        <v>0</v>
      </c>
      <c r="G395" s="815">
        <v>0</v>
      </c>
      <c r="H395" s="815">
        <v>0</v>
      </c>
      <c r="I395" s="815">
        <v>0</v>
      </c>
      <c r="J395" s="815">
        <f t="shared" si="31"/>
        <v>80959.216780000002</v>
      </c>
      <c r="K395" s="815">
        <v>0</v>
      </c>
      <c r="L395" s="214">
        <f t="shared" si="32"/>
        <v>-80959.216780000002</v>
      </c>
      <c r="M395" s="214"/>
      <c r="N395" s="214"/>
    </row>
    <row r="396" spans="1:116">
      <c r="A396" s="821"/>
      <c r="B396" s="813" t="s">
        <v>1247</v>
      </c>
      <c r="C396" s="814" t="s">
        <v>1390</v>
      </c>
      <c r="D396" s="815">
        <v>0</v>
      </c>
      <c r="E396" s="815">
        <f>+E116</f>
        <v>80959.216780000002</v>
      </c>
      <c r="F396" s="815">
        <v>0</v>
      </c>
      <c r="G396" s="815">
        <v>0</v>
      </c>
      <c r="H396" s="815">
        <v>0</v>
      </c>
      <c r="I396" s="815">
        <v>0</v>
      </c>
      <c r="J396" s="815">
        <f t="shared" si="31"/>
        <v>80959.216780000002</v>
      </c>
      <c r="K396" s="815">
        <v>0</v>
      </c>
      <c r="L396" s="214">
        <f t="shared" si="32"/>
        <v>0</v>
      </c>
      <c r="M396" s="214">
        <f>+E116</f>
        <v>80959.216780000002</v>
      </c>
      <c r="N396" s="214"/>
      <c r="O396" s="808"/>
      <c r="P396" s="808"/>
      <c r="Q396" s="808"/>
      <c r="R396" s="808"/>
      <c r="S396" s="808"/>
      <c r="T396" s="808"/>
      <c r="U396" s="808"/>
      <c r="V396" s="808"/>
      <c r="W396" s="808"/>
      <c r="X396" s="808"/>
      <c r="Y396" s="808"/>
      <c r="Z396" s="808"/>
      <c r="AA396" s="808"/>
      <c r="AB396" s="808"/>
      <c r="AC396" s="808"/>
      <c r="AD396" s="808"/>
      <c r="AE396" s="808"/>
      <c r="AF396" s="808"/>
      <c r="AG396" s="808"/>
      <c r="AH396" s="808"/>
      <c r="AI396" s="808"/>
      <c r="AJ396" s="808"/>
      <c r="AK396" s="808"/>
      <c r="AL396" s="808"/>
      <c r="AM396" s="808"/>
      <c r="AN396" s="808"/>
      <c r="AO396" s="808"/>
      <c r="AP396" s="808"/>
      <c r="AQ396" s="808"/>
      <c r="AR396" s="808"/>
      <c r="AS396" s="808"/>
      <c r="AT396" s="808"/>
      <c r="AU396" s="808"/>
      <c r="AV396" s="808"/>
      <c r="AW396" s="808"/>
      <c r="AX396" s="808"/>
      <c r="AY396" s="808"/>
      <c r="AZ396" s="808"/>
      <c r="BA396" s="808"/>
      <c r="BB396" s="808"/>
      <c r="BC396" s="808"/>
      <c r="BD396" s="808"/>
      <c r="BE396" s="808"/>
      <c r="BF396" s="808"/>
      <c r="BG396" s="808"/>
      <c r="BH396" s="808"/>
      <c r="BI396" s="808"/>
      <c r="BJ396" s="808"/>
      <c r="BK396" s="808"/>
      <c r="BL396" s="808"/>
      <c r="BM396" s="808"/>
      <c r="BN396" s="808"/>
      <c r="BO396" s="808"/>
      <c r="BP396" s="808"/>
      <c r="BQ396" s="808"/>
      <c r="BR396" s="808"/>
      <c r="BS396" s="808"/>
      <c r="BT396" s="808"/>
      <c r="BU396" s="808"/>
      <c r="BV396" s="808"/>
      <c r="BW396" s="808"/>
      <c r="BX396" s="808"/>
      <c r="BY396" s="808"/>
      <c r="BZ396" s="808"/>
      <c r="CA396" s="808"/>
      <c r="CB396" s="808"/>
      <c r="CC396" s="808"/>
      <c r="CD396" s="808"/>
      <c r="CE396" s="808"/>
      <c r="CF396" s="808"/>
      <c r="CG396" s="808"/>
      <c r="CH396" s="808"/>
      <c r="CI396" s="808"/>
      <c r="CJ396" s="808"/>
      <c r="CK396" s="808"/>
      <c r="CL396" s="808"/>
      <c r="CM396" s="808"/>
      <c r="CN396" s="808"/>
      <c r="CO396" s="808"/>
      <c r="CP396" s="808"/>
      <c r="CQ396" s="808"/>
      <c r="CR396" s="808"/>
      <c r="CS396" s="808"/>
      <c r="CT396" s="808"/>
      <c r="CU396" s="808"/>
      <c r="CV396" s="808"/>
      <c r="CW396" s="808"/>
      <c r="CX396" s="808"/>
      <c r="CY396" s="808"/>
      <c r="CZ396" s="808"/>
      <c r="DA396" s="808"/>
      <c r="DB396" s="808"/>
      <c r="DC396" s="808"/>
      <c r="DD396" s="808"/>
      <c r="DE396" s="808"/>
      <c r="DF396" s="808"/>
      <c r="DG396" s="808"/>
      <c r="DH396" s="808"/>
      <c r="DI396" s="808"/>
      <c r="DJ396" s="808"/>
      <c r="DK396" s="808"/>
      <c r="DL396" s="808"/>
    </row>
    <row r="397" spans="1:116">
      <c r="A397" s="821"/>
      <c r="B397" s="813" t="s">
        <v>1249</v>
      </c>
      <c r="C397" s="814" t="s">
        <v>483</v>
      </c>
      <c r="D397" s="815">
        <v>0</v>
      </c>
      <c r="E397" s="815">
        <v>0</v>
      </c>
      <c r="F397" s="815">
        <v>0</v>
      </c>
      <c r="G397" s="815">
        <v>0</v>
      </c>
      <c r="H397" s="815">
        <v>0</v>
      </c>
      <c r="I397" s="815">
        <v>0</v>
      </c>
      <c r="J397" s="815">
        <f t="shared" si="31"/>
        <v>0</v>
      </c>
      <c r="K397" s="815">
        <v>0</v>
      </c>
      <c r="L397" s="214">
        <f t="shared" si="32"/>
        <v>0</v>
      </c>
      <c r="M397" s="214"/>
      <c r="N397" s="214"/>
      <c r="O397" s="808"/>
      <c r="P397" s="808"/>
      <c r="Q397" s="808"/>
      <c r="R397" s="808"/>
      <c r="S397" s="808"/>
      <c r="T397" s="808"/>
      <c r="U397" s="808"/>
      <c r="V397" s="808"/>
      <c r="W397" s="808"/>
      <c r="X397" s="808"/>
      <c r="Y397" s="808"/>
      <c r="Z397" s="808"/>
      <c r="AA397" s="808"/>
      <c r="AB397" s="808"/>
      <c r="AC397" s="808"/>
      <c r="AD397" s="808"/>
      <c r="AE397" s="808"/>
      <c r="AF397" s="808"/>
      <c r="AG397" s="808"/>
      <c r="AH397" s="808"/>
      <c r="AI397" s="808"/>
      <c r="AJ397" s="808"/>
      <c r="AK397" s="808"/>
      <c r="AL397" s="808"/>
      <c r="AM397" s="808"/>
      <c r="AN397" s="808"/>
      <c r="AO397" s="808"/>
      <c r="AP397" s="808"/>
      <c r="AQ397" s="808"/>
      <c r="AR397" s="808"/>
      <c r="AS397" s="808"/>
      <c r="AT397" s="808"/>
      <c r="AU397" s="808"/>
      <c r="AV397" s="808"/>
      <c r="AW397" s="808"/>
      <c r="AX397" s="808"/>
      <c r="AY397" s="808"/>
      <c r="AZ397" s="808"/>
      <c r="BA397" s="808"/>
      <c r="BB397" s="808"/>
      <c r="BC397" s="808"/>
      <c r="BD397" s="808"/>
      <c r="BE397" s="808"/>
      <c r="BF397" s="808"/>
      <c r="BG397" s="808"/>
      <c r="BH397" s="808"/>
      <c r="BI397" s="808"/>
      <c r="BJ397" s="808"/>
      <c r="BK397" s="808"/>
      <c r="BL397" s="808"/>
      <c r="BM397" s="808"/>
      <c r="BN397" s="808"/>
      <c r="BO397" s="808"/>
      <c r="BP397" s="808"/>
      <c r="BQ397" s="808"/>
      <c r="BR397" s="808"/>
      <c r="BS397" s="808"/>
      <c r="BT397" s="808"/>
      <c r="BU397" s="808"/>
      <c r="BV397" s="808"/>
      <c r="BW397" s="808"/>
      <c r="BX397" s="808"/>
      <c r="BY397" s="808"/>
      <c r="BZ397" s="808"/>
      <c r="CA397" s="808"/>
      <c r="CB397" s="808"/>
      <c r="CC397" s="808"/>
      <c r="CD397" s="808"/>
      <c r="CE397" s="808"/>
      <c r="CF397" s="808"/>
      <c r="CG397" s="808"/>
      <c r="CH397" s="808"/>
      <c r="CI397" s="808"/>
      <c r="CJ397" s="808"/>
      <c r="CK397" s="808"/>
      <c r="CL397" s="808"/>
      <c r="CM397" s="808"/>
      <c r="CN397" s="808"/>
      <c r="CO397" s="808"/>
      <c r="CP397" s="808"/>
      <c r="CQ397" s="808"/>
      <c r="CR397" s="808"/>
      <c r="CS397" s="808"/>
      <c r="CT397" s="808"/>
      <c r="CU397" s="808"/>
      <c r="CV397" s="808"/>
      <c r="CW397" s="808"/>
      <c r="CX397" s="808"/>
      <c r="CY397" s="808"/>
      <c r="CZ397" s="808"/>
      <c r="DA397" s="808"/>
      <c r="DB397" s="808"/>
      <c r="DC397" s="808"/>
      <c r="DD397" s="808"/>
      <c r="DE397" s="808"/>
      <c r="DF397" s="808"/>
      <c r="DG397" s="808"/>
      <c r="DH397" s="808"/>
      <c r="DI397" s="808"/>
      <c r="DJ397" s="808"/>
      <c r="DK397" s="808"/>
      <c r="DL397" s="808"/>
    </row>
    <row r="398" spans="1:116">
      <c r="A398" s="821"/>
      <c r="B398" s="813" t="s">
        <v>954</v>
      </c>
      <c r="C398" s="814" t="s">
        <v>276</v>
      </c>
      <c r="D398" s="815">
        <v>0</v>
      </c>
      <c r="E398" s="815">
        <v>0</v>
      </c>
      <c r="F398" s="815">
        <v>0</v>
      </c>
      <c r="G398" s="815">
        <v>0</v>
      </c>
      <c r="H398" s="815">
        <v>0</v>
      </c>
      <c r="I398" s="815">
        <v>0</v>
      </c>
      <c r="J398" s="815">
        <f t="shared" si="31"/>
        <v>0</v>
      </c>
      <c r="K398" s="815">
        <v>0</v>
      </c>
      <c r="L398" s="214">
        <f t="shared" si="32"/>
        <v>0</v>
      </c>
      <c r="M398" s="214"/>
      <c r="N398" s="214"/>
      <c r="O398" s="808"/>
      <c r="P398" s="808"/>
      <c r="Q398" s="808"/>
      <c r="R398" s="808"/>
      <c r="S398" s="808"/>
      <c r="T398" s="808"/>
      <c r="U398" s="808"/>
      <c r="V398" s="808"/>
      <c r="W398" s="808"/>
      <c r="X398" s="808"/>
      <c r="Y398" s="808"/>
      <c r="Z398" s="808"/>
      <c r="AA398" s="808"/>
      <c r="AB398" s="808"/>
      <c r="AC398" s="808"/>
      <c r="AD398" s="808"/>
      <c r="AE398" s="808"/>
      <c r="AF398" s="808"/>
      <c r="AG398" s="808"/>
      <c r="AH398" s="808"/>
      <c r="AI398" s="808"/>
      <c r="AJ398" s="808"/>
      <c r="AK398" s="808"/>
      <c r="AL398" s="808"/>
      <c r="AM398" s="808"/>
      <c r="AN398" s="808"/>
      <c r="AO398" s="808"/>
      <c r="AP398" s="808"/>
      <c r="AQ398" s="808"/>
      <c r="AR398" s="808"/>
      <c r="AS398" s="808"/>
      <c r="AT398" s="808"/>
      <c r="AU398" s="808"/>
      <c r="AV398" s="808"/>
      <c r="AW398" s="808"/>
      <c r="AX398" s="808"/>
      <c r="AY398" s="808"/>
      <c r="AZ398" s="808"/>
      <c r="BA398" s="808"/>
      <c r="BB398" s="808"/>
      <c r="BC398" s="808"/>
      <c r="BD398" s="808"/>
      <c r="BE398" s="808"/>
      <c r="BF398" s="808"/>
      <c r="BG398" s="808"/>
      <c r="BH398" s="808"/>
      <c r="BI398" s="808"/>
      <c r="BJ398" s="808"/>
      <c r="BK398" s="808"/>
      <c r="BL398" s="808"/>
      <c r="BM398" s="808"/>
      <c r="BN398" s="808"/>
      <c r="BO398" s="808"/>
      <c r="BP398" s="808"/>
      <c r="BQ398" s="808"/>
      <c r="BR398" s="808"/>
      <c r="BS398" s="808"/>
      <c r="BT398" s="808"/>
      <c r="BU398" s="808"/>
      <c r="BV398" s="808"/>
      <c r="BW398" s="808"/>
      <c r="BX398" s="808"/>
      <c r="BY398" s="808"/>
      <c r="BZ398" s="808"/>
      <c r="CA398" s="808"/>
      <c r="CB398" s="808"/>
      <c r="CC398" s="808"/>
      <c r="CD398" s="808"/>
      <c r="CE398" s="808"/>
      <c r="CF398" s="808"/>
      <c r="CG398" s="808"/>
      <c r="CH398" s="808"/>
      <c r="CI398" s="808"/>
      <c r="CJ398" s="808"/>
      <c r="CK398" s="808"/>
      <c r="CL398" s="808"/>
      <c r="CM398" s="808"/>
      <c r="CN398" s="808"/>
      <c r="CO398" s="808"/>
      <c r="CP398" s="808"/>
      <c r="CQ398" s="808"/>
      <c r="CR398" s="808"/>
      <c r="CS398" s="808"/>
      <c r="CT398" s="808"/>
      <c r="CU398" s="808"/>
      <c r="CV398" s="808"/>
      <c r="CW398" s="808"/>
      <c r="CX398" s="808"/>
      <c r="CY398" s="808"/>
      <c r="CZ398" s="808"/>
      <c r="DA398" s="808"/>
      <c r="DB398" s="808"/>
      <c r="DC398" s="808"/>
      <c r="DD398" s="808"/>
      <c r="DE398" s="808"/>
      <c r="DF398" s="808"/>
      <c r="DG398" s="808"/>
      <c r="DH398" s="808"/>
      <c r="DI398" s="808"/>
      <c r="DJ398" s="808"/>
      <c r="DK398" s="808"/>
      <c r="DL398" s="808"/>
    </row>
    <row r="399" spans="1:116">
      <c r="A399" s="821"/>
      <c r="B399" s="813" t="s">
        <v>955</v>
      </c>
      <c r="C399" s="814" t="s">
        <v>277</v>
      </c>
      <c r="D399" s="815">
        <v>0</v>
      </c>
      <c r="E399" s="815">
        <v>23989.14</v>
      </c>
      <c r="F399" s="815">
        <v>0</v>
      </c>
      <c r="G399" s="815">
        <v>0</v>
      </c>
      <c r="H399" s="815">
        <v>0</v>
      </c>
      <c r="I399" s="815">
        <v>0</v>
      </c>
      <c r="J399" s="815">
        <f t="shared" si="31"/>
        <v>23989.14</v>
      </c>
      <c r="K399" s="815">
        <v>0</v>
      </c>
      <c r="L399" s="214">
        <f t="shared" si="32"/>
        <v>-3.8500000009662472E-3</v>
      </c>
      <c r="M399" s="214">
        <f>+G114</f>
        <v>23989.136149999998</v>
      </c>
      <c r="N399" s="214"/>
      <c r="O399" s="808"/>
      <c r="P399" s="808"/>
      <c r="Q399" s="808"/>
      <c r="R399" s="808"/>
      <c r="S399" s="808"/>
      <c r="T399" s="808"/>
      <c r="U399" s="808"/>
      <c r="V399" s="808"/>
      <c r="W399" s="808"/>
      <c r="X399" s="808"/>
      <c r="Y399" s="808"/>
      <c r="Z399" s="808"/>
      <c r="AA399" s="808"/>
      <c r="AB399" s="808"/>
      <c r="AC399" s="808"/>
      <c r="AD399" s="808"/>
      <c r="AE399" s="808"/>
      <c r="AF399" s="808"/>
      <c r="AG399" s="808"/>
      <c r="AH399" s="808"/>
      <c r="AI399" s="808"/>
      <c r="AJ399" s="808"/>
      <c r="AK399" s="808"/>
      <c r="AL399" s="808"/>
      <c r="AM399" s="808"/>
      <c r="AN399" s="808"/>
      <c r="AO399" s="808"/>
      <c r="AP399" s="808"/>
      <c r="AQ399" s="808"/>
      <c r="AR399" s="808"/>
      <c r="AS399" s="808"/>
      <c r="AT399" s="808"/>
      <c r="AU399" s="808"/>
      <c r="AV399" s="808"/>
      <c r="AW399" s="808"/>
      <c r="AX399" s="808"/>
      <c r="AY399" s="808"/>
      <c r="AZ399" s="808"/>
      <c r="BA399" s="808"/>
      <c r="BB399" s="808"/>
      <c r="BC399" s="808"/>
      <c r="BD399" s="808"/>
      <c r="BE399" s="808"/>
      <c r="BF399" s="808"/>
      <c r="BG399" s="808"/>
      <c r="BH399" s="808"/>
      <c r="BI399" s="808"/>
      <c r="BJ399" s="808"/>
      <c r="BK399" s="808"/>
      <c r="BL399" s="808"/>
      <c r="BM399" s="808"/>
      <c r="BN399" s="808"/>
      <c r="BO399" s="808"/>
      <c r="BP399" s="808"/>
      <c r="BQ399" s="808"/>
      <c r="BR399" s="808"/>
      <c r="BS399" s="808"/>
      <c r="BT399" s="808"/>
      <c r="BU399" s="808"/>
      <c r="BV399" s="808"/>
      <c r="BW399" s="808"/>
      <c r="BX399" s="808"/>
      <c r="BY399" s="808"/>
      <c r="BZ399" s="808"/>
      <c r="CA399" s="808"/>
      <c r="CB399" s="808"/>
      <c r="CC399" s="808"/>
      <c r="CD399" s="808"/>
      <c r="CE399" s="808"/>
      <c r="CF399" s="808"/>
      <c r="CG399" s="808"/>
      <c r="CH399" s="808"/>
      <c r="CI399" s="808"/>
      <c r="CJ399" s="808"/>
      <c r="CK399" s="808"/>
      <c r="CL399" s="808"/>
      <c r="CM399" s="808"/>
      <c r="CN399" s="808"/>
      <c r="CO399" s="808"/>
      <c r="CP399" s="808"/>
      <c r="CQ399" s="808"/>
      <c r="CR399" s="808"/>
      <c r="CS399" s="808"/>
      <c r="CT399" s="808"/>
      <c r="CU399" s="808"/>
      <c r="CV399" s="808"/>
      <c r="CW399" s="808"/>
      <c r="CX399" s="808"/>
      <c r="CY399" s="808"/>
      <c r="CZ399" s="808"/>
      <c r="DA399" s="808"/>
      <c r="DB399" s="808"/>
      <c r="DC399" s="808"/>
      <c r="DD399" s="808"/>
      <c r="DE399" s="808"/>
      <c r="DF399" s="808"/>
      <c r="DG399" s="808"/>
      <c r="DH399" s="808"/>
      <c r="DI399" s="808"/>
      <c r="DJ399" s="808"/>
      <c r="DK399" s="808"/>
      <c r="DL399" s="808"/>
    </row>
    <row r="400" spans="1:116">
      <c r="A400" s="821"/>
      <c r="B400" s="813" t="s">
        <v>1391</v>
      </c>
      <c r="C400" s="814" t="s">
        <v>278</v>
      </c>
      <c r="D400" s="815">
        <v>0</v>
      </c>
      <c r="E400" s="815">
        <v>0</v>
      </c>
      <c r="F400" s="815">
        <v>0</v>
      </c>
      <c r="G400" s="815">
        <v>0</v>
      </c>
      <c r="H400" s="815">
        <v>0</v>
      </c>
      <c r="I400" s="815">
        <v>0</v>
      </c>
      <c r="J400" s="815">
        <f t="shared" si="31"/>
        <v>0</v>
      </c>
      <c r="K400" s="815">
        <v>0</v>
      </c>
      <c r="L400" s="214">
        <f t="shared" si="32"/>
        <v>0</v>
      </c>
      <c r="M400" s="214"/>
      <c r="N400" s="214"/>
      <c r="O400" s="808"/>
      <c r="P400" s="808"/>
      <c r="Q400" s="808"/>
      <c r="R400" s="808"/>
      <c r="S400" s="808"/>
      <c r="T400" s="808"/>
      <c r="U400" s="808"/>
      <c r="V400" s="808"/>
      <c r="W400" s="808"/>
      <c r="X400" s="808"/>
      <c r="Y400" s="808"/>
      <c r="Z400" s="808"/>
      <c r="AA400" s="808"/>
      <c r="AB400" s="808"/>
      <c r="AC400" s="808"/>
      <c r="AD400" s="808"/>
      <c r="AE400" s="808"/>
      <c r="AF400" s="808"/>
      <c r="AG400" s="808"/>
      <c r="AH400" s="808"/>
      <c r="AI400" s="808"/>
      <c r="AJ400" s="808"/>
      <c r="AK400" s="808"/>
      <c r="AL400" s="808"/>
      <c r="AM400" s="808"/>
      <c r="AN400" s="808"/>
      <c r="AO400" s="808"/>
      <c r="AP400" s="808"/>
      <c r="AQ400" s="808"/>
      <c r="AR400" s="808"/>
      <c r="AS400" s="808"/>
      <c r="AT400" s="808"/>
      <c r="AU400" s="808"/>
      <c r="AV400" s="808"/>
      <c r="AW400" s="808"/>
      <c r="AX400" s="808"/>
      <c r="AY400" s="808"/>
      <c r="AZ400" s="808"/>
      <c r="BA400" s="808"/>
      <c r="BB400" s="808"/>
      <c r="BC400" s="808"/>
      <c r="BD400" s="808"/>
      <c r="BE400" s="808"/>
      <c r="BF400" s="808"/>
      <c r="BG400" s="808"/>
      <c r="BH400" s="808"/>
      <c r="BI400" s="808"/>
      <c r="BJ400" s="808"/>
      <c r="BK400" s="808"/>
      <c r="BL400" s="808"/>
      <c r="BM400" s="808"/>
      <c r="BN400" s="808"/>
      <c r="BO400" s="808"/>
      <c r="BP400" s="808"/>
      <c r="BQ400" s="808"/>
      <c r="BR400" s="808"/>
      <c r="BS400" s="808"/>
      <c r="BT400" s="808"/>
      <c r="BU400" s="808"/>
      <c r="BV400" s="808"/>
      <c r="BW400" s="808"/>
      <c r="BX400" s="808"/>
      <c r="BY400" s="808"/>
      <c r="BZ400" s="808"/>
      <c r="CA400" s="808"/>
      <c r="CB400" s="808"/>
      <c r="CC400" s="808"/>
      <c r="CD400" s="808"/>
      <c r="CE400" s="808"/>
      <c r="CF400" s="808"/>
      <c r="CG400" s="808"/>
      <c r="CH400" s="808"/>
      <c r="CI400" s="808"/>
      <c r="CJ400" s="808"/>
      <c r="CK400" s="808"/>
      <c r="CL400" s="808"/>
      <c r="CM400" s="808"/>
      <c r="CN400" s="808"/>
      <c r="CO400" s="808"/>
      <c r="CP400" s="808"/>
      <c r="CQ400" s="808"/>
      <c r="CR400" s="808"/>
      <c r="CS400" s="808"/>
      <c r="CT400" s="808"/>
      <c r="CU400" s="808"/>
      <c r="CV400" s="808"/>
      <c r="CW400" s="808"/>
      <c r="CX400" s="808"/>
      <c r="CY400" s="808"/>
      <c r="CZ400" s="808"/>
      <c r="DA400" s="808"/>
      <c r="DB400" s="808"/>
      <c r="DC400" s="808"/>
      <c r="DD400" s="808"/>
      <c r="DE400" s="808"/>
      <c r="DF400" s="808"/>
      <c r="DG400" s="808"/>
      <c r="DH400" s="808"/>
      <c r="DI400" s="808"/>
      <c r="DJ400" s="808"/>
      <c r="DK400" s="808"/>
      <c r="DL400" s="808"/>
    </row>
    <row r="401" spans="1:116">
      <c r="A401" s="821"/>
      <c r="B401" s="813" t="s">
        <v>1392</v>
      </c>
      <c r="C401" s="814" t="s">
        <v>279</v>
      </c>
      <c r="D401" s="815">
        <v>0</v>
      </c>
      <c r="E401" s="815">
        <v>0</v>
      </c>
      <c r="F401" s="815">
        <v>0</v>
      </c>
      <c r="G401" s="815">
        <v>0</v>
      </c>
      <c r="H401" s="815">
        <v>0</v>
      </c>
      <c r="I401" s="815">
        <v>0</v>
      </c>
      <c r="J401" s="815">
        <f t="shared" si="31"/>
        <v>0</v>
      </c>
      <c r="K401" s="815">
        <v>0</v>
      </c>
      <c r="L401" s="214">
        <f t="shared" si="32"/>
        <v>0</v>
      </c>
      <c r="M401" s="214"/>
      <c r="N401" s="214"/>
      <c r="O401" s="808"/>
      <c r="P401" s="808"/>
      <c r="Q401" s="808"/>
      <c r="R401" s="808"/>
      <c r="S401" s="808"/>
      <c r="T401" s="808"/>
      <c r="U401" s="808"/>
      <c r="V401" s="808"/>
      <c r="W401" s="808"/>
      <c r="X401" s="808"/>
      <c r="Y401" s="808"/>
      <c r="Z401" s="808"/>
      <c r="AA401" s="808"/>
      <c r="AB401" s="808"/>
      <c r="AC401" s="808"/>
      <c r="AD401" s="808"/>
      <c r="AE401" s="808"/>
      <c r="AF401" s="808"/>
      <c r="AG401" s="808"/>
      <c r="AH401" s="808"/>
      <c r="AI401" s="808"/>
      <c r="AJ401" s="808"/>
      <c r="AK401" s="808"/>
      <c r="AL401" s="808"/>
      <c r="AM401" s="808"/>
      <c r="AN401" s="808"/>
      <c r="AO401" s="808"/>
      <c r="AP401" s="808"/>
      <c r="AQ401" s="808"/>
      <c r="AR401" s="808"/>
      <c r="AS401" s="808"/>
      <c r="AT401" s="808"/>
      <c r="AU401" s="808"/>
      <c r="AV401" s="808"/>
      <c r="AW401" s="808"/>
      <c r="AX401" s="808"/>
      <c r="AY401" s="808"/>
      <c r="AZ401" s="808"/>
      <c r="BA401" s="808"/>
      <c r="BB401" s="808"/>
      <c r="BC401" s="808"/>
      <c r="BD401" s="808"/>
      <c r="BE401" s="808"/>
      <c r="BF401" s="808"/>
      <c r="BG401" s="808"/>
      <c r="BH401" s="808"/>
      <c r="BI401" s="808"/>
      <c r="BJ401" s="808"/>
      <c r="BK401" s="808"/>
      <c r="BL401" s="808"/>
      <c r="BM401" s="808"/>
      <c r="BN401" s="808"/>
      <c r="BO401" s="808"/>
      <c r="BP401" s="808"/>
      <c r="BQ401" s="808"/>
      <c r="BR401" s="808"/>
      <c r="BS401" s="808"/>
      <c r="BT401" s="808"/>
      <c r="BU401" s="808"/>
      <c r="BV401" s="808"/>
      <c r="BW401" s="808"/>
      <c r="BX401" s="808"/>
      <c r="BY401" s="808"/>
      <c r="BZ401" s="808"/>
      <c r="CA401" s="808"/>
      <c r="CB401" s="808"/>
      <c r="CC401" s="808"/>
      <c r="CD401" s="808"/>
      <c r="CE401" s="808"/>
      <c r="CF401" s="808"/>
      <c r="CG401" s="808"/>
      <c r="CH401" s="808"/>
      <c r="CI401" s="808"/>
      <c r="CJ401" s="808"/>
      <c r="CK401" s="808"/>
      <c r="CL401" s="808"/>
      <c r="CM401" s="808"/>
      <c r="CN401" s="808"/>
      <c r="CO401" s="808"/>
      <c r="CP401" s="808"/>
      <c r="CQ401" s="808"/>
      <c r="CR401" s="808"/>
      <c r="CS401" s="808"/>
      <c r="CT401" s="808"/>
      <c r="CU401" s="808"/>
      <c r="CV401" s="808"/>
      <c r="CW401" s="808"/>
      <c r="CX401" s="808"/>
      <c r="CY401" s="808"/>
      <c r="CZ401" s="808"/>
      <c r="DA401" s="808"/>
      <c r="DB401" s="808"/>
      <c r="DC401" s="808"/>
      <c r="DD401" s="808"/>
      <c r="DE401" s="808"/>
      <c r="DF401" s="808"/>
      <c r="DG401" s="808"/>
      <c r="DH401" s="808"/>
      <c r="DI401" s="808"/>
      <c r="DJ401" s="808"/>
      <c r="DK401" s="808"/>
      <c r="DL401" s="808"/>
    </row>
    <row r="402" spans="1:116">
      <c r="A402" s="821"/>
      <c r="B402" s="813" t="s">
        <v>1393</v>
      </c>
      <c r="C402" s="814" t="s">
        <v>280</v>
      </c>
      <c r="D402" s="815">
        <v>0</v>
      </c>
      <c r="E402" s="815">
        <v>0</v>
      </c>
      <c r="F402" s="815">
        <v>0</v>
      </c>
      <c r="G402" s="815">
        <v>0</v>
      </c>
      <c r="H402" s="815">
        <v>0</v>
      </c>
      <c r="I402" s="815">
        <v>0</v>
      </c>
      <c r="J402" s="815">
        <f t="shared" si="31"/>
        <v>0</v>
      </c>
      <c r="K402" s="815">
        <v>0</v>
      </c>
      <c r="L402" s="214">
        <f t="shared" si="32"/>
        <v>0</v>
      </c>
      <c r="M402" s="214"/>
      <c r="N402" s="214"/>
      <c r="O402" s="808"/>
      <c r="P402" s="808"/>
      <c r="Q402" s="808"/>
      <c r="R402" s="808"/>
      <c r="S402" s="808"/>
      <c r="T402" s="808"/>
      <c r="U402" s="808"/>
      <c r="V402" s="808"/>
      <c r="W402" s="808"/>
      <c r="X402" s="808"/>
      <c r="Y402" s="808"/>
      <c r="Z402" s="808"/>
      <c r="AA402" s="808"/>
      <c r="AB402" s="808"/>
      <c r="AC402" s="808"/>
      <c r="AD402" s="808"/>
      <c r="AE402" s="808"/>
      <c r="AF402" s="808"/>
      <c r="AG402" s="808"/>
      <c r="AH402" s="808"/>
      <c r="AI402" s="808"/>
      <c r="AJ402" s="808"/>
      <c r="AK402" s="808"/>
      <c r="AL402" s="808"/>
      <c r="AM402" s="808"/>
      <c r="AN402" s="808"/>
      <c r="AO402" s="808"/>
      <c r="AP402" s="808"/>
      <c r="AQ402" s="808"/>
      <c r="AR402" s="808"/>
      <c r="AS402" s="808"/>
      <c r="AT402" s="808"/>
      <c r="AU402" s="808"/>
      <c r="AV402" s="808"/>
      <c r="AW402" s="808"/>
      <c r="AX402" s="808"/>
      <c r="AY402" s="808"/>
      <c r="AZ402" s="808"/>
      <c r="BA402" s="808"/>
      <c r="BB402" s="808"/>
      <c r="BC402" s="808"/>
      <c r="BD402" s="808"/>
      <c r="BE402" s="808"/>
      <c r="BF402" s="808"/>
      <c r="BG402" s="808"/>
      <c r="BH402" s="808"/>
      <c r="BI402" s="808"/>
      <c r="BJ402" s="808"/>
      <c r="BK402" s="808"/>
      <c r="BL402" s="808"/>
      <c r="BM402" s="808"/>
      <c r="BN402" s="808"/>
      <c r="BO402" s="808"/>
      <c r="BP402" s="808"/>
      <c r="BQ402" s="808"/>
      <c r="BR402" s="808"/>
      <c r="BS402" s="808"/>
      <c r="BT402" s="808"/>
      <c r="BU402" s="808"/>
      <c r="BV402" s="808"/>
      <c r="BW402" s="808"/>
      <c r="BX402" s="808"/>
      <c r="BY402" s="808"/>
      <c r="BZ402" s="808"/>
      <c r="CA402" s="808"/>
      <c r="CB402" s="808"/>
      <c r="CC402" s="808"/>
      <c r="CD402" s="808"/>
      <c r="CE402" s="808"/>
      <c r="CF402" s="808"/>
      <c r="CG402" s="808"/>
      <c r="CH402" s="808"/>
      <c r="CI402" s="808"/>
      <c r="CJ402" s="808"/>
      <c r="CK402" s="808"/>
      <c r="CL402" s="808"/>
      <c r="CM402" s="808"/>
      <c r="CN402" s="808"/>
      <c r="CO402" s="808"/>
      <c r="CP402" s="808"/>
      <c r="CQ402" s="808"/>
      <c r="CR402" s="808"/>
      <c r="CS402" s="808"/>
      <c r="CT402" s="808"/>
      <c r="CU402" s="808"/>
      <c r="CV402" s="808"/>
      <c r="CW402" s="808"/>
      <c r="CX402" s="808"/>
      <c r="CY402" s="808"/>
      <c r="CZ402" s="808"/>
      <c r="DA402" s="808"/>
      <c r="DB402" s="808"/>
      <c r="DC402" s="808"/>
      <c r="DD402" s="808"/>
      <c r="DE402" s="808"/>
      <c r="DF402" s="808"/>
      <c r="DG402" s="808"/>
      <c r="DH402" s="808"/>
      <c r="DI402" s="808"/>
      <c r="DJ402" s="808"/>
      <c r="DK402" s="808"/>
      <c r="DL402" s="808"/>
    </row>
    <row r="403" spans="1:116" ht="26.4">
      <c r="A403" s="821"/>
      <c r="B403" s="813" t="s">
        <v>1394</v>
      </c>
      <c r="C403" s="814" t="s">
        <v>1395</v>
      </c>
      <c r="D403" s="815">
        <v>0</v>
      </c>
      <c r="E403" s="815">
        <v>0</v>
      </c>
      <c r="F403" s="815">
        <v>0</v>
      </c>
      <c r="G403" s="815">
        <v>0</v>
      </c>
      <c r="H403" s="815">
        <v>0</v>
      </c>
      <c r="I403" s="815">
        <v>0</v>
      </c>
      <c r="J403" s="815">
        <f t="shared" si="31"/>
        <v>0</v>
      </c>
      <c r="K403" s="815">
        <v>0</v>
      </c>
      <c r="L403" s="214">
        <f t="shared" si="32"/>
        <v>0</v>
      </c>
      <c r="M403" s="214"/>
      <c r="N403" s="214"/>
      <c r="O403" s="808"/>
      <c r="P403" s="808"/>
      <c r="Q403" s="808"/>
      <c r="R403" s="808"/>
      <c r="S403" s="808"/>
      <c r="T403" s="808"/>
      <c r="U403" s="808"/>
      <c r="V403" s="808"/>
      <c r="W403" s="808"/>
      <c r="X403" s="808"/>
      <c r="Y403" s="808"/>
      <c r="Z403" s="808"/>
      <c r="AA403" s="808"/>
      <c r="AB403" s="808"/>
      <c r="AC403" s="808"/>
      <c r="AD403" s="808"/>
      <c r="AE403" s="808"/>
      <c r="AF403" s="808"/>
      <c r="AG403" s="808"/>
      <c r="AH403" s="808"/>
      <c r="AI403" s="808"/>
      <c r="AJ403" s="808"/>
      <c r="AK403" s="808"/>
      <c r="AL403" s="808"/>
      <c r="AM403" s="808"/>
      <c r="AN403" s="808"/>
      <c r="AO403" s="808"/>
      <c r="AP403" s="808"/>
      <c r="AQ403" s="808"/>
      <c r="AR403" s="808"/>
      <c r="AS403" s="808"/>
      <c r="AT403" s="808"/>
      <c r="AU403" s="808"/>
      <c r="AV403" s="808"/>
      <c r="AW403" s="808"/>
      <c r="AX403" s="808"/>
      <c r="AY403" s="808"/>
      <c r="AZ403" s="808"/>
      <c r="BA403" s="808"/>
      <c r="BB403" s="808"/>
      <c r="BC403" s="808"/>
      <c r="BD403" s="808"/>
      <c r="BE403" s="808"/>
      <c r="BF403" s="808"/>
      <c r="BG403" s="808"/>
      <c r="BH403" s="808"/>
      <c r="BI403" s="808"/>
      <c r="BJ403" s="808"/>
      <c r="BK403" s="808"/>
      <c r="BL403" s="808"/>
      <c r="BM403" s="808"/>
      <c r="BN403" s="808"/>
      <c r="BO403" s="808"/>
      <c r="BP403" s="808"/>
      <c r="BQ403" s="808"/>
      <c r="BR403" s="808"/>
      <c r="BS403" s="808"/>
      <c r="BT403" s="808"/>
      <c r="BU403" s="808"/>
      <c r="BV403" s="808"/>
      <c r="BW403" s="808"/>
      <c r="BX403" s="808"/>
      <c r="BY403" s="808"/>
      <c r="BZ403" s="808"/>
      <c r="CA403" s="808"/>
      <c r="CB403" s="808"/>
      <c r="CC403" s="808"/>
      <c r="CD403" s="808"/>
      <c r="CE403" s="808"/>
      <c r="CF403" s="808"/>
      <c r="CG403" s="808"/>
      <c r="CH403" s="808"/>
      <c r="CI403" s="808"/>
      <c r="CJ403" s="808"/>
      <c r="CK403" s="808"/>
      <c r="CL403" s="808"/>
      <c r="CM403" s="808"/>
      <c r="CN403" s="808"/>
      <c r="CO403" s="808"/>
      <c r="CP403" s="808"/>
      <c r="CQ403" s="808"/>
      <c r="CR403" s="808"/>
      <c r="CS403" s="808"/>
      <c r="CT403" s="808"/>
      <c r="CU403" s="808"/>
      <c r="CV403" s="808"/>
      <c r="CW403" s="808"/>
      <c r="CX403" s="808"/>
      <c r="CY403" s="808"/>
      <c r="CZ403" s="808"/>
      <c r="DA403" s="808"/>
      <c r="DB403" s="808"/>
      <c r="DC403" s="808"/>
      <c r="DD403" s="808"/>
      <c r="DE403" s="808"/>
      <c r="DF403" s="808"/>
      <c r="DG403" s="808"/>
      <c r="DH403" s="808"/>
      <c r="DI403" s="808"/>
      <c r="DJ403" s="808"/>
      <c r="DK403" s="808"/>
      <c r="DL403" s="808"/>
    </row>
    <row r="404" spans="1:116">
      <c r="A404" s="821"/>
      <c r="B404" s="813" t="s">
        <v>1396</v>
      </c>
      <c r="C404" s="816" t="s">
        <v>1397</v>
      </c>
      <c r="D404" s="815">
        <v>0</v>
      </c>
      <c r="E404" s="815">
        <f>+E395+E399</f>
        <v>104948.35678</v>
      </c>
      <c r="F404" s="815">
        <f t="shared" ref="F404:I404" si="34">+F395+F399</f>
        <v>0</v>
      </c>
      <c r="G404" s="815">
        <f t="shared" si="34"/>
        <v>0</v>
      </c>
      <c r="H404" s="815">
        <f t="shared" si="34"/>
        <v>0</v>
      </c>
      <c r="I404" s="815">
        <f t="shared" si="34"/>
        <v>0</v>
      </c>
      <c r="J404" s="815">
        <f t="shared" si="31"/>
        <v>104948.35678</v>
      </c>
      <c r="K404" s="815">
        <v>0</v>
      </c>
      <c r="L404" s="214">
        <f t="shared" si="32"/>
        <v>-104948.35678</v>
      </c>
      <c r="M404" s="214"/>
      <c r="N404" s="214"/>
      <c r="O404" s="808"/>
      <c r="P404" s="808"/>
      <c r="Q404" s="808"/>
      <c r="R404" s="808"/>
      <c r="S404" s="808"/>
      <c r="T404" s="808"/>
      <c r="U404" s="808"/>
      <c r="V404" s="808"/>
      <c r="W404" s="808"/>
      <c r="X404" s="808"/>
      <c r="Y404" s="808"/>
      <c r="Z404" s="808"/>
      <c r="AA404" s="808"/>
      <c r="AB404" s="808"/>
      <c r="AC404" s="808"/>
      <c r="AD404" s="808"/>
      <c r="AE404" s="808"/>
      <c r="AF404" s="808"/>
      <c r="AG404" s="808"/>
      <c r="AH404" s="808"/>
      <c r="AI404" s="808"/>
      <c r="AJ404" s="808"/>
      <c r="AK404" s="808"/>
      <c r="AL404" s="808"/>
      <c r="AM404" s="808"/>
      <c r="AN404" s="808"/>
      <c r="AO404" s="808"/>
      <c r="AP404" s="808"/>
      <c r="AQ404" s="808"/>
      <c r="AR404" s="808"/>
      <c r="AS404" s="808"/>
      <c r="AT404" s="808"/>
      <c r="AU404" s="808"/>
      <c r="AV404" s="808"/>
      <c r="AW404" s="808"/>
      <c r="AX404" s="808"/>
      <c r="AY404" s="808"/>
      <c r="AZ404" s="808"/>
      <c r="BA404" s="808"/>
      <c r="BB404" s="808"/>
      <c r="BC404" s="808"/>
      <c r="BD404" s="808"/>
      <c r="BE404" s="808"/>
      <c r="BF404" s="808"/>
      <c r="BG404" s="808"/>
      <c r="BH404" s="808"/>
      <c r="BI404" s="808"/>
      <c r="BJ404" s="808"/>
      <c r="BK404" s="808"/>
      <c r="BL404" s="808"/>
      <c r="BM404" s="808"/>
      <c r="BN404" s="808"/>
      <c r="BO404" s="808"/>
      <c r="BP404" s="808"/>
      <c r="BQ404" s="808"/>
      <c r="BR404" s="808"/>
      <c r="BS404" s="808"/>
      <c r="BT404" s="808"/>
      <c r="BU404" s="808"/>
      <c r="BV404" s="808"/>
      <c r="BW404" s="808"/>
      <c r="BX404" s="808"/>
      <c r="BY404" s="808"/>
      <c r="BZ404" s="808"/>
      <c r="CA404" s="808"/>
      <c r="CB404" s="808"/>
      <c r="CC404" s="808"/>
      <c r="CD404" s="808"/>
      <c r="CE404" s="808"/>
      <c r="CF404" s="808"/>
      <c r="CG404" s="808"/>
      <c r="CH404" s="808"/>
      <c r="CI404" s="808"/>
      <c r="CJ404" s="808"/>
      <c r="CK404" s="808"/>
      <c r="CL404" s="808"/>
      <c r="CM404" s="808"/>
      <c r="CN404" s="808"/>
      <c r="CO404" s="808"/>
      <c r="CP404" s="808"/>
      <c r="CQ404" s="808"/>
      <c r="CR404" s="808"/>
      <c r="CS404" s="808"/>
      <c r="CT404" s="808"/>
      <c r="CU404" s="808"/>
      <c r="CV404" s="808"/>
      <c r="CW404" s="808"/>
      <c r="CX404" s="808"/>
      <c r="CY404" s="808"/>
      <c r="CZ404" s="808"/>
      <c r="DA404" s="808"/>
      <c r="DB404" s="808"/>
      <c r="DC404" s="808"/>
      <c r="DD404" s="808"/>
      <c r="DE404" s="808"/>
      <c r="DF404" s="808"/>
      <c r="DG404" s="808"/>
      <c r="DH404" s="808"/>
      <c r="DI404" s="808"/>
      <c r="DJ404" s="808"/>
      <c r="DK404" s="808"/>
      <c r="DL404" s="808"/>
    </row>
    <row r="405" spans="1:116">
      <c r="A405" s="821"/>
      <c r="B405" s="813" t="s">
        <v>961</v>
      </c>
      <c r="C405" s="816" t="s">
        <v>487</v>
      </c>
      <c r="D405" s="815">
        <v>0</v>
      </c>
      <c r="E405" s="815">
        <v>0</v>
      </c>
      <c r="F405" s="815">
        <v>0</v>
      </c>
      <c r="G405" s="815">
        <v>0</v>
      </c>
      <c r="H405" s="815">
        <v>0</v>
      </c>
      <c r="I405" s="815">
        <v>0</v>
      </c>
      <c r="J405" s="815">
        <f t="shared" si="31"/>
        <v>0</v>
      </c>
      <c r="K405" s="815">
        <v>0</v>
      </c>
      <c r="L405" s="214">
        <f t="shared" si="32"/>
        <v>0</v>
      </c>
      <c r="M405" s="214"/>
      <c r="N405" s="214"/>
      <c r="O405" s="808"/>
      <c r="P405" s="808"/>
      <c r="Q405" s="808"/>
      <c r="R405" s="808"/>
      <c r="S405" s="808"/>
      <c r="T405" s="808"/>
      <c r="U405" s="808"/>
      <c r="V405" s="808"/>
      <c r="W405" s="808"/>
      <c r="X405" s="808"/>
      <c r="Y405" s="808"/>
      <c r="Z405" s="808"/>
      <c r="AA405" s="808"/>
      <c r="AB405" s="808"/>
      <c r="AC405" s="808"/>
      <c r="AD405" s="808"/>
      <c r="AE405" s="808"/>
      <c r="AF405" s="808"/>
      <c r="AG405" s="808"/>
      <c r="AH405" s="808"/>
      <c r="AI405" s="808"/>
      <c r="AJ405" s="808"/>
      <c r="AK405" s="808"/>
      <c r="AL405" s="808"/>
      <c r="AM405" s="808"/>
      <c r="AN405" s="808"/>
      <c r="AO405" s="808"/>
      <c r="AP405" s="808"/>
      <c r="AQ405" s="808"/>
      <c r="AR405" s="808"/>
      <c r="AS405" s="808"/>
      <c r="AT405" s="808"/>
      <c r="AU405" s="808"/>
      <c r="AV405" s="808"/>
      <c r="AW405" s="808"/>
      <c r="AX405" s="808"/>
      <c r="AY405" s="808"/>
      <c r="AZ405" s="808"/>
      <c r="BA405" s="808"/>
      <c r="BB405" s="808"/>
      <c r="BC405" s="808"/>
      <c r="BD405" s="808"/>
      <c r="BE405" s="808"/>
      <c r="BF405" s="808"/>
      <c r="BG405" s="808"/>
      <c r="BH405" s="808"/>
      <c r="BI405" s="808"/>
      <c r="BJ405" s="808"/>
      <c r="BK405" s="808"/>
      <c r="BL405" s="808"/>
      <c r="BM405" s="808"/>
      <c r="BN405" s="808"/>
      <c r="BO405" s="808"/>
      <c r="BP405" s="808"/>
      <c r="BQ405" s="808"/>
      <c r="BR405" s="808"/>
      <c r="BS405" s="808"/>
      <c r="BT405" s="808"/>
      <c r="BU405" s="808"/>
      <c r="BV405" s="808"/>
      <c r="BW405" s="808"/>
      <c r="BX405" s="808"/>
      <c r="BY405" s="808"/>
      <c r="BZ405" s="808"/>
      <c r="CA405" s="808"/>
      <c r="CB405" s="808"/>
      <c r="CC405" s="808"/>
      <c r="CD405" s="808"/>
      <c r="CE405" s="808"/>
      <c r="CF405" s="808"/>
      <c r="CG405" s="808"/>
      <c r="CH405" s="808"/>
      <c r="CI405" s="808"/>
      <c r="CJ405" s="808"/>
      <c r="CK405" s="808"/>
      <c r="CL405" s="808"/>
      <c r="CM405" s="808"/>
      <c r="CN405" s="808"/>
      <c r="CO405" s="808"/>
      <c r="CP405" s="808"/>
      <c r="CQ405" s="808"/>
      <c r="CR405" s="808"/>
      <c r="CS405" s="808"/>
      <c r="CT405" s="808"/>
      <c r="CU405" s="808"/>
      <c r="CV405" s="808"/>
      <c r="CW405" s="808"/>
      <c r="CX405" s="808"/>
      <c r="CY405" s="808"/>
      <c r="CZ405" s="808"/>
      <c r="DA405" s="808"/>
      <c r="DB405" s="808"/>
      <c r="DC405" s="808"/>
      <c r="DD405" s="808"/>
      <c r="DE405" s="808"/>
      <c r="DF405" s="808"/>
      <c r="DG405" s="808"/>
      <c r="DH405" s="808"/>
      <c r="DI405" s="808"/>
      <c r="DJ405" s="808"/>
      <c r="DK405" s="808"/>
      <c r="DL405" s="808"/>
    </row>
    <row r="406" spans="1:116">
      <c r="A406" s="821"/>
      <c r="B406" s="813" t="s">
        <v>1208</v>
      </c>
      <c r="C406" s="814" t="s">
        <v>488</v>
      </c>
      <c r="D406" s="815">
        <v>0</v>
      </c>
      <c r="E406" s="815">
        <v>0</v>
      </c>
      <c r="F406" s="815">
        <v>0</v>
      </c>
      <c r="G406" s="815">
        <v>0</v>
      </c>
      <c r="H406" s="815">
        <v>0</v>
      </c>
      <c r="I406" s="815">
        <v>0</v>
      </c>
      <c r="J406" s="815">
        <f t="shared" si="31"/>
        <v>0</v>
      </c>
      <c r="K406" s="815">
        <v>0</v>
      </c>
      <c r="L406" s="214">
        <f t="shared" si="32"/>
        <v>0</v>
      </c>
      <c r="M406" s="214"/>
      <c r="N406" s="214"/>
      <c r="O406" s="808"/>
      <c r="P406" s="808"/>
      <c r="Q406" s="808"/>
      <c r="R406" s="808"/>
      <c r="S406" s="808"/>
      <c r="T406" s="808"/>
      <c r="U406" s="808"/>
      <c r="V406" s="808"/>
      <c r="W406" s="808"/>
      <c r="X406" s="808"/>
      <c r="Y406" s="808"/>
      <c r="Z406" s="808"/>
      <c r="AA406" s="808"/>
      <c r="AB406" s="808"/>
      <c r="AC406" s="808"/>
      <c r="AD406" s="808"/>
      <c r="AE406" s="808"/>
      <c r="AF406" s="808"/>
      <c r="AG406" s="808"/>
      <c r="AH406" s="808"/>
      <c r="AI406" s="808"/>
      <c r="AJ406" s="808"/>
      <c r="AK406" s="808"/>
      <c r="AL406" s="808"/>
      <c r="AM406" s="808"/>
      <c r="AN406" s="808"/>
      <c r="AO406" s="808"/>
      <c r="AP406" s="808"/>
      <c r="AQ406" s="808"/>
      <c r="AR406" s="808"/>
      <c r="AS406" s="808"/>
      <c r="AT406" s="808"/>
      <c r="AU406" s="808"/>
      <c r="AV406" s="808"/>
      <c r="AW406" s="808"/>
      <c r="AX406" s="808"/>
      <c r="AY406" s="808"/>
      <c r="AZ406" s="808"/>
      <c r="BA406" s="808"/>
      <c r="BB406" s="808"/>
      <c r="BC406" s="808"/>
      <c r="BD406" s="808"/>
      <c r="BE406" s="808"/>
      <c r="BF406" s="808"/>
      <c r="BG406" s="808"/>
      <c r="BH406" s="808"/>
      <c r="BI406" s="808"/>
      <c r="BJ406" s="808"/>
      <c r="BK406" s="808"/>
      <c r="BL406" s="808"/>
      <c r="BM406" s="808"/>
      <c r="BN406" s="808"/>
      <c r="BO406" s="808"/>
      <c r="BP406" s="808"/>
      <c r="BQ406" s="808"/>
      <c r="BR406" s="808"/>
      <c r="BS406" s="808"/>
      <c r="BT406" s="808"/>
      <c r="BU406" s="808"/>
      <c r="BV406" s="808"/>
      <c r="BW406" s="808"/>
      <c r="BX406" s="808"/>
      <c r="BY406" s="808"/>
      <c r="BZ406" s="808"/>
      <c r="CA406" s="808"/>
      <c r="CB406" s="808"/>
      <c r="CC406" s="808"/>
      <c r="CD406" s="808"/>
      <c r="CE406" s="808"/>
      <c r="CF406" s="808"/>
      <c r="CG406" s="808"/>
      <c r="CH406" s="808"/>
      <c r="CI406" s="808"/>
      <c r="CJ406" s="808"/>
      <c r="CK406" s="808"/>
      <c r="CL406" s="808"/>
      <c r="CM406" s="808"/>
      <c r="CN406" s="808"/>
      <c r="CO406" s="808"/>
      <c r="CP406" s="808"/>
      <c r="CQ406" s="808"/>
      <c r="CR406" s="808"/>
      <c r="CS406" s="808"/>
      <c r="CT406" s="808"/>
      <c r="CU406" s="808"/>
      <c r="CV406" s="808"/>
      <c r="CW406" s="808"/>
      <c r="CX406" s="808"/>
      <c r="CY406" s="808"/>
      <c r="CZ406" s="808"/>
      <c r="DA406" s="808"/>
      <c r="DB406" s="808"/>
      <c r="DC406" s="808"/>
      <c r="DD406" s="808"/>
      <c r="DE406" s="808"/>
      <c r="DF406" s="808"/>
      <c r="DG406" s="808"/>
      <c r="DH406" s="808"/>
      <c r="DI406" s="808"/>
      <c r="DJ406" s="808"/>
      <c r="DK406" s="808"/>
      <c r="DL406" s="808"/>
    </row>
    <row r="407" spans="1:116">
      <c r="A407" s="821"/>
      <c r="B407" s="813" t="s">
        <v>1210</v>
      </c>
      <c r="C407" s="814" t="s">
        <v>17</v>
      </c>
      <c r="D407" s="815">
        <v>0</v>
      </c>
      <c r="E407" s="815">
        <v>0</v>
      </c>
      <c r="F407" s="815">
        <v>0</v>
      </c>
      <c r="G407" s="815">
        <v>0</v>
      </c>
      <c r="H407" s="815">
        <v>0</v>
      </c>
      <c r="I407" s="815">
        <v>0</v>
      </c>
      <c r="J407" s="815">
        <f t="shared" si="31"/>
        <v>0</v>
      </c>
      <c r="K407" s="815">
        <v>0</v>
      </c>
      <c r="L407" s="214">
        <f t="shared" si="32"/>
        <v>0</v>
      </c>
      <c r="M407" s="214"/>
      <c r="N407" s="214"/>
      <c r="O407" s="808"/>
      <c r="P407" s="808"/>
      <c r="Q407" s="808"/>
      <c r="R407" s="808"/>
      <c r="S407" s="808"/>
      <c r="T407" s="808"/>
      <c r="U407" s="808"/>
      <c r="V407" s="808"/>
      <c r="W407" s="808"/>
      <c r="X407" s="808"/>
      <c r="Y407" s="808"/>
      <c r="Z407" s="808"/>
      <c r="AA407" s="808"/>
      <c r="AB407" s="808"/>
      <c r="AC407" s="808"/>
      <c r="AD407" s="808"/>
      <c r="AE407" s="808"/>
      <c r="AF407" s="808"/>
      <c r="AG407" s="808"/>
      <c r="AH407" s="808"/>
      <c r="AI407" s="808"/>
      <c r="AJ407" s="808"/>
      <c r="AK407" s="808"/>
      <c r="AL407" s="808"/>
      <c r="AM407" s="808"/>
      <c r="AN407" s="808"/>
      <c r="AO407" s="808"/>
      <c r="AP407" s="808"/>
      <c r="AQ407" s="808"/>
      <c r="AR407" s="808"/>
      <c r="AS407" s="808"/>
      <c r="AT407" s="808"/>
      <c r="AU407" s="808"/>
      <c r="AV407" s="808"/>
      <c r="AW407" s="808"/>
      <c r="AX407" s="808"/>
      <c r="AY407" s="808"/>
      <c r="AZ407" s="808"/>
      <c r="BA407" s="808"/>
      <c r="BB407" s="808"/>
      <c r="BC407" s="808"/>
      <c r="BD407" s="808"/>
      <c r="BE407" s="808"/>
      <c r="BF407" s="808"/>
      <c r="BG407" s="808"/>
      <c r="BH407" s="808"/>
      <c r="BI407" s="808"/>
      <c r="BJ407" s="808"/>
      <c r="BK407" s="808"/>
      <c r="BL407" s="808"/>
      <c r="BM407" s="808"/>
      <c r="BN407" s="808"/>
      <c r="BO407" s="808"/>
      <c r="BP407" s="808"/>
      <c r="BQ407" s="808"/>
      <c r="BR407" s="808"/>
      <c r="BS407" s="808"/>
      <c r="BT407" s="808"/>
      <c r="BU407" s="808"/>
      <c r="BV407" s="808"/>
      <c r="BW407" s="808"/>
      <c r="BX407" s="808"/>
      <c r="BY407" s="808"/>
      <c r="BZ407" s="808"/>
      <c r="CA407" s="808"/>
      <c r="CB407" s="808"/>
      <c r="CC407" s="808"/>
      <c r="CD407" s="808"/>
      <c r="CE407" s="808"/>
      <c r="CF407" s="808"/>
      <c r="CG407" s="808"/>
      <c r="CH407" s="808"/>
      <c r="CI407" s="808"/>
      <c r="CJ407" s="808"/>
      <c r="CK407" s="808"/>
      <c r="CL407" s="808"/>
      <c r="CM407" s="808"/>
      <c r="CN407" s="808"/>
      <c r="CO407" s="808"/>
      <c r="CP407" s="808"/>
      <c r="CQ407" s="808"/>
      <c r="CR407" s="808"/>
      <c r="CS407" s="808"/>
      <c r="CT407" s="808"/>
      <c r="CU407" s="808"/>
      <c r="CV407" s="808"/>
      <c r="CW407" s="808"/>
      <c r="CX407" s="808"/>
      <c r="CY407" s="808"/>
      <c r="CZ407" s="808"/>
      <c r="DA407" s="808"/>
      <c r="DB407" s="808"/>
      <c r="DC407" s="808"/>
      <c r="DD407" s="808"/>
      <c r="DE407" s="808"/>
      <c r="DF407" s="808"/>
      <c r="DG407" s="808"/>
      <c r="DH407" s="808"/>
      <c r="DI407" s="808"/>
      <c r="DJ407" s="808"/>
      <c r="DK407" s="808"/>
      <c r="DL407" s="808"/>
    </row>
    <row r="408" spans="1:116">
      <c r="A408" s="821"/>
      <c r="B408" s="813" t="s">
        <v>962</v>
      </c>
      <c r="C408" s="816" t="s">
        <v>82</v>
      </c>
      <c r="D408" s="815">
        <v>0</v>
      </c>
      <c r="E408" s="815">
        <f>+E404+E392</f>
        <v>18461168.42678</v>
      </c>
      <c r="F408" s="815">
        <f t="shared" ref="F408:J408" si="35">+F404+F392</f>
        <v>0</v>
      </c>
      <c r="G408" s="815">
        <f t="shared" si="35"/>
        <v>17932994.252860002</v>
      </c>
      <c r="H408" s="815">
        <f t="shared" si="35"/>
        <v>0</v>
      </c>
      <c r="I408" s="815">
        <f t="shared" si="35"/>
        <v>0</v>
      </c>
      <c r="J408" s="815">
        <f t="shared" si="35"/>
        <v>36394162.679639995</v>
      </c>
      <c r="K408" s="815">
        <v>0</v>
      </c>
      <c r="L408" s="214">
        <f t="shared" si="32"/>
        <v>2266836.6898500025</v>
      </c>
      <c r="M408" s="214">
        <f>+M392+M396+M399</f>
        <v>38660999.369489998</v>
      </c>
      <c r="N408" s="214"/>
      <c r="O408" s="808"/>
      <c r="P408" s="808"/>
      <c r="Q408" s="808"/>
      <c r="R408" s="808"/>
      <c r="S408" s="808"/>
      <c r="T408" s="808"/>
      <c r="U408" s="808"/>
      <c r="V408" s="808"/>
      <c r="W408" s="808"/>
      <c r="X408" s="808"/>
      <c r="Y408" s="808"/>
      <c r="Z408" s="808"/>
      <c r="AA408" s="808"/>
      <c r="AB408" s="808"/>
      <c r="AC408" s="808"/>
      <c r="AD408" s="808"/>
      <c r="AE408" s="808"/>
      <c r="AF408" s="808"/>
      <c r="AG408" s="808"/>
      <c r="AH408" s="808"/>
      <c r="AI408" s="808"/>
      <c r="AJ408" s="808"/>
      <c r="AK408" s="808"/>
      <c r="AL408" s="808"/>
      <c r="AM408" s="808"/>
      <c r="AN408" s="808"/>
      <c r="AO408" s="808"/>
      <c r="AP408" s="808"/>
      <c r="AQ408" s="808"/>
      <c r="AR408" s="808"/>
      <c r="AS408" s="808"/>
      <c r="AT408" s="808"/>
      <c r="AU408" s="808"/>
      <c r="AV408" s="808"/>
      <c r="AW408" s="808"/>
      <c r="AX408" s="808"/>
      <c r="AY408" s="808"/>
      <c r="AZ408" s="808"/>
      <c r="BA408" s="808"/>
      <c r="BB408" s="808"/>
      <c r="BC408" s="808"/>
      <c r="BD408" s="808"/>
      <c r="BE408" s="808"/>
      <c r="BF408" s="808"/>
      <c r="BG408" s="808"/>
      <c r="BH408" s="808"/>
      <c r="BI408" s="808"/>
      <c r="BJ408" s="808"/>
      <c r="BK408" s="808"/>
      <c r="BL408" s="808"/>
      <c r="BM408" s="808"/>
      <c r="BN408" s="808"/>
      <c r="BO408" s="808"/>
      <c r="BP408" s="808"/>
      <c r="BQ408" s="808"/>
      <c r="BR408" s="808"/>
      <c r="BS408" s="808"/>
      <c r="BT408" s="808"/>
      <c r="BU408" s="808"/>
      <c r="BV408" s="808"/>
      <c r="BW408" s="808"/>
      <c r="BX408" s="808"/>
      <c r="BY408" s="808"/>
      <c r="BZ408" s="808"/>
      <c r="CA408" s="808"/>
      <c r="CB408" s="808"/>
      <c r="CC408" s="808"/>
      <c r="CD408" s="808"/>
      <c r="CE408" s="808"/>
      <c r="CF408" s="808"/>
      <c r="CG408" s="808"/>
      <c r="CH408" s="808"/>
      <c r="CI408" s="808"/>
      <c r="CJ408" s="808"/>
      <c r="CK408" s="808"/>
      <c r="CL408" s="808"/>
      <c r="CM408" s="808"/>
      <c r="CN408" s="808"/>
      <c r="CO408" s="808"/>
      <c r="CP408" s="808"/>
      <c r="CQ408" s="808"/>
      <c r="CR408" s="808"/>
      <c r="CS408" s="808"/>
      <c r="CT408" s="808"/>
      <c r="CU408" s="808"/>
      <c r="CV408" s="808"/>
      <c r="CW408" s="808"/>
      <c r="CX408" s="808"/>
      <c r="CY408" s="808"/>
      <c r="CZ408" s="808"/>
      <c r="DA408" s="808"/>
      <c r="DB408" s="808"/>
      <c r="DC408" s="808"/>
      <c r="DD408" s="808"/>
      <c r="DE408" s="808"/>
      <c r="DF408" s="808"/>
      <c r="DG408" s="808"/>
      <c r="DH408" s="808"/>
      <c r="DI408" s="808"/>
      <c r="DJ408" s="808"/>
      <c r="DK408" s="808"/>
      <c r="DL408" s="808"/>
    </row>
    <row r="409" spans="1:116">
      <c r="A409" s="821" t="s">
        <v>1201</v>
      </c>
      <c r="B409" s="807" t="s">
        <v>1201</v>
      </c>
      <c r="C409" s="808" t="s">
        <v>1201</v>
      </c>
      <c r="D409" s="214" t="s">
        <v>1201</v>
      </c>
      <c r="K409" s="808"/>
      <c r="M409" s="214"/>
      <c r="N409" s="808"/>
      <c r="O409" s="808"/>
      <c r="P409" s="808"/>
      <c r="Q409" s="808"/>
      <c r="R409" s="808"/>
      <c r="S409" s="808"/>
      <c r="T409" s="808"/>
      <c r="U409" s="808"/>
      <c r="V409" s="808"/>
      <c r="W409" s="808"/>
      <c r="X409" s="808"/>
      <c r="Y409" s="808"/>
      <c r="Z409" s="808"/>
      <c r="AA409" s="808"/>
      <c r="AB409" s="808"/>
      <c r="AC409" s="808"/>
      <c r="AD409" s="808"/>
      <c r="AE409" s="808"/>
      <c r="AF409" s="808"/>
      <c r="AG409" s="808"/>
      <c r="AH409" s="808"/>
      <c r="AI409" s="808"/>
      <c r="AJ409" s="808"/>
      <c r="AK409" s="808"/>
      <c r="AL409" s="808"/>
      <c r="AM409" s="808"/>
      <c r="AN409" s="808"/>
      <c r="AO409" s="808"/>
      <c r="AP409" s="808"/>
      <c r="AQ409" s="808"/>
      <c r="AR409" s="808"/>
      <c r="AS409" s="808"/>
      <c r="AT409" s="808"/>
      <c r="AU409" s="808"/>
      <c r="AV409" s="808"/>
      <c r="AW409" s="808"/>
      <c r="AX409" s="808"/>
      <c r="AY409" s="808"/>
      <c r="AZ409" s="808"/>
      <c r="BA409" s="808"/>
      <c r="BB409" s="808"/>
      <c r="BC409" s="808"/>
      <c r="BD409" s="808"/>
      <c r="BE409" s="808"/>
      <c r="BF409" s="808"/>
      <c r="BG409" s="808"/>
      <c r="BH409" s="808"/>
      <c r="BI409" s="808"/>
      <c r="BJ409" s="808"/>
      <c r="BK409" s="808"/>
      <c r="BL409" s="984"/>
      <c r="BM409" s="984"/>
      <c r="BN409" s="984"/>
      <c r="BO409" s="984"/>
      <c r="BP409" s="984"/>
      <c r="BQ409" s="984"/>
      <c r="BR409" s="984"/>
      <c r="BS409" s="984"/>
      <c r="BT409" s="984"/>
      <c r="BU409" s="984"/>
      <c r="BV409" s="984"/>
      <c r="BW409" s="984"/>
      <c r="BX409" s="984"/>
      <c r="BY409" s="984"/>
      <c r="BZ409" s="984"/>
      <c r="CA409" s="984"/>
      <c r="CB409" s="984"/>
      <c r="CC409" s="984"/>
      <c r="CD409" s="984"/>
      <c r="CE409" s="984"/>
      <c r="CF409" s="984"/>
      <c r="CG409" s="984"/>
      <c r="CH409" s="984"/>
      <c r="CI409" s="984"/>
      <c r="CJ409" s="984"/>
      <c r="CK409" s="984"/>
      <c r="CL409" s="984"/>
      <c r="CM409" s="984"/>
      <c r="CN409" s="984"/>
      <c r="CO409" s="984"/>
      <c r="CP409" s="984"/>
      <c r="CQ409" s="984"/>
      <c r="CR409" s="984"/>
      <c r="CS409" s="984"/>
      <c r="CT409" s="984"/>
      <c r="CU409" s="984"/>
      <c r="CV409" s="984"/>
      <c r="CW409" s="984"/>
      <c r="CX409" s="984"/>
      <c r="CY409" s="984"/>
      <c r="CZ409" s="984"/>
      <c r="DA409" s="984"/>
      <c r="DB409" s="984"/>
      <c r="DC409" s="984"/>
      <c r="DD409" s="984"/>
      <c r="DE409" s="984"/>
      <c r="DF409" s="984"/>
      <c r="DG409" s="984"/>
      <c r="DH409" s="984"/>
      <c r="DI409" s="984"/>
      <c r="DJ409" s="984"/>
      <c r="DK409" s="984"/>
      <c r="DL409" s="984"/>
    </row>
    <row r="410" spans="1:116">
      <c r="A410" s="821"/>
      <c r="B410" s="809" t="s">
        <v>1398</v>
      </c>
      <c r="C410" s="808"/>
      <c r="M410" s="214"/>
    </row>
    <row r="411" spans="1:116">
      <c r="A411" s="821"/>
      <c r="B411" s="807"/>
      <c r="C411" s="808"/>
      <c r="E411" s="810" t="s">
        <v>1203</v>
      </c>
    </row>
    <row r="412" spans="1:116">
      <c r="A412" s="821"/>
      <c r="B412" s="811" t="s">
        <v>79</v>
      </c>
      <c r="C412" s="811" t="s">
        <v>5</v>
      </c>
      <c r="D412" s="812" t="s">
        <v>391</v>
      </c>
      <c r="E412" s="812" t="s">
        <v>391</v>
      </c>
    </row>
    <row r="413" spans="1:116">
      <c r="A413" s="821"/>
      <c r="B413" s="813" t="s">
        <v>1220</v>
      </c>
      <c r="C413" s="814" t="s">
        <v>392</v>
      </c>
      <c r="D413" s="815">
        <v>2059073.6</v>
      </c>
      <c r="E413" s="815">
        <f>3591492703.78/1000+1318500131.73/1000</f>
        <v>4909992.8355100006</v>
      </c>
    </row>
    <row r="414" spans="1:116">
      <c r="A414" s="821"/>
      <c r="B414" s="813" t="s">
        <v>1206</v>
      </c>
      <c r="C414" s="814" t="s">
        <v>393</v>
      </c>
      <c r="D414" s="815">
        <v>320978.90000000002</v>
      </c>
      <c r="E414" s="815">
        <f>486618174.17/1000</f>
        <v>486618.17417000001</v>
      </c>
    </row>
    <row r="415" spans="1:116">
      <c r="A415" s="821"/>
      <c r="B415" s="813" t="s">
        <v>1273</v>
      </c>
      <c r="C415" s="814" t="s">
        <v>1337</v>
      </c>
      <c r="D415" s="815">
        <v>18193.099999999999</v>
      </c>
      <c r="E415" s="815">
        <f>142104489.38/1000</f>
        <v>142104.48937999998</v>
      </c>
    </row>
    <row r="416" spans="1:116">
      <c r="A416" s="821"/>
      <c r="B416" s="813" t="s">
        <v>1278</v>
      </c>
      <c r="C416" s="814" t="s">
        <v>395</v>
      </c>
      <c r="D416" s="815">
        <v>803466.6</v>
      </c>
      <c r="E416" s="815">
        <f>537918456.9/1000</f>
        <v>537918.45689999999</v>
      </c>
    </row>
    <row r="417" spans="1:120">
      <c r="A417" s="821"/>
      <c r="B417" s="813" t="s">
        <v>1280</v>
      </c>
      <c r="C417" s="814" t="s">
        <v>396</v>
      </c>
      <c r="D417" s="815">
        <v>66007</v>
      </c>
      <c r="E417" s="815">
        <f>99891699.74/1000</f>
        <v>99891.699739999996</v>
      </c>
    </row>
    <row r="418" spans="1:120">
      <c r="A418" s="821"/>
      <c r="B418" s="813" t="s">
        <v>1282</v>
      </c>
      <c r="C418" s="814" t="s">
        <v>397</v>
      </c>
      <c r="D418" s="815">
        <v>95388.2</v>
      </c>
      <c r="E418" s="815">
        <f>47555160.62/1000</f>
        <v>47555.160619999995</v>
      </c>
    </row>
    <row r="419" spans="1:120">
      <c r="A419" s="821"/>
      <c r="B419" s="813" t="s">
        <v>1338</v>
      </c>
      <c r="C419" s="814" t="s">
        <v>398</v>
      </c>
      <c r="D419" s="815">
        <v>0</v>
      </c>
      <c r="E419" s="815">
        <f>111360165/1000</f>
        <v>111360.16499999999</v>
      </c>
    </row>
    <row r="420" spans="1:120">
      <c r="A420" s="821"/>
      <c r="B420" s="813" t="s">
        <v>1321</v>
      </c>
      <c r="C420" s="814" t="s">
        <v>1339</v>
      </c>
      <c r="D420" s="815">
        <v>49544.2</v>
      </c>
      <c r="E420" s="815">
        <f>35405135.77/1000</f>
        <v>35405.135770000001</v>
      </c>
    </row>
    <row r="421" spans="1:120">
      <c r="A421" s="821"/>
      <c r="B421" s="813" t="s">
        <v>1340</v>
      </c>
      <c r="C421" s="814" t="s">
        <v>1341</v>
      </c>
      <c r="D421" s="815">
        <v>0</v>
      </c>
      <c r="E421" s="815"/>
    </row>
    <row r="422" spans="1:120">
      <c r="A422" s="821"/>
      <c r="B422" s="813" t="s">
        <v>1342</v>
      </c>
      <c r="C422" s="814" t="s">
        <v>401</v>
      </c>
      <c r="D422" s="815">
        <v>314577.90000000002</v>
      </c>
      <c r="E422" s="815">
        <f>301002019.56/1000</f>
        <v>301002.01955999999</v>
      </c>
    </row>
    <row r="423" spans="1:120">
      <c r="A423" s="821"/>
      <c r="B423" s="813" t="s">
        <v>1343</v>
      </c>
      <c r="C423" s="814" t="s">
        <v>402</v>
      </c>
      <c r="D423" s="815">
        <v>163817.29999999999</v>
      </c>
      <c r="E423" s="815">
        <f>139847027.61/1000</f>
        <v>139847.02761000002</v>
      </c>
    </row>
    <row r="424" spans="1:120">
      <c r="A424" s="821"/>
      <c r="B424" s="813" t="s">
        <v>1344</v>
      </c>
      <c r="C424" s="814" t="s">
        <v>403</v>
      </c>
      <c r="D424" s="815">
        <v>190739.7</v>
      </c>
      <c r="E424" s="815">
        <f>182082270.24/1000</f>
        <v>182082.27024000001</v>
      </c>
    </row>
    <row r="425" spans="1:120">
      <c r="A425" s="821"/>
      <c r="B425" s="813" t="s">
        <v>1345</v>
      </c>
      <c r="C425" s="814" t="s">
        <v>404</v>
      </c>
      <c r="D425" s="815">
        <v>489539.2</v>
      </c>
      <c r="E425" s="815">
        <f>692307208.98/1000</f>
        <v>692307.20898</v>
      </c>
      <c r="K425" s="808"/>
      <c r="M425" s="808"/>
      <c r="N425" s="808"/>
      <c r="O425" s="808"/>
      <c r="P425" s="808"/>
      <c r="Q425" s="808"/>
      <c r="R425" s="808"/>
      <c r="S425" s="808"/>
      <c r="T425" s="808"/>
      <c r="U425" s="808"/>
      <c r="V425" s="808"/>
      <c r="W425" s="808"/>
      <c r="X425" s="808"/>
      <c r="Y425" s="808"/>
      <c r="Z425" s="808"/>
      <c r="AA425" s="808"/>
      <c r="AB425" s="808"/>
      <c r="AC425" s="808"/>
      <c r="AD425" s="808"/>
      <c r="AE425" s="808"/>
      <c r="AF425" s="808"/>
      <c r="AG425" s="808"/>
      <c r="AH425" s="808"/>
      <c r="AI425" s="808"/>
      <c r="AJ425" s="808"/>
      <c r="AK425" s="808"/>
      <c r="AL425" s="808"/>
      <c r="AM425" s="808"/>
      <c r="AN425" s="808"/>
      <c r="AO425" s="808"/>
      <c r="AP425" s="808"/>
      <c r="AQ425" s="808"/>
      <c r="AR425" s="808"/>
      <c r="AS425" s="808"/>
      <c r="AT425" s="808"/>
      <c r="AU425" s="808"/>
      <c r="AV425" s="808"/>
      <c r="AW425" s="808"/>
      <c r="AX425" s="808"/>
      <c r="AY425" s="808"/>
      <c r="AZ425" s="808"/>
      <c r="BA425" s="808"/>
      <c r="BB425" s="808"/>
      <c r="BC425" s="808"/>
      <c r="BD425" s="808"/>
      <c r="BE425" s="808"/>
      <c r="BF425" s="808"/>
      <c r="BG425" s="808"/>
      <c r="BH425" s="808"/>
      <c r="BI425" s="808"/>
      <c r="BJ425" s="808"/>
      <c r="BK425" s="808"/>
      <c r="BL425" s="808"/>
      <c r="BM425" s="808"/>
      <c r="BN425" s="808"/>
      <c r="BO425" s="808"/>
      <c r="BP425" s="808"/>
      <c r="BQ425" s="808"/>
      <c r="BR425" s="808"/>
      <c r="BS425" s="808"/>
      <c r="BT425" s="808"/>
      <c r="BU425" s="808"/>
      <c r="BV425" s="808"/>
      <c r="BW425" s="808"/>
      <c r="BX425" s="808"/>
      <c r="BY425" s="808"/>
      <c r="BZ425" s="808"/>
      <c r="CA425" s="808"/>
      <c r="CB425" s="808"/>
      <c r="CC425" s="808"/>
      <c r="CD425" s="808"/>
      <c r="CE425" s="808"/>
      <c r="CF425" s="808"/>
      <c r="CG425" s="808"/>
      <c r="CH425" s="808"/>
      <c r="CI425" s="808"/>
      <c r="CJ425" s="808"/>
      <c r="CK425" s="808"/>
      <c r="CL425" s="808"/>
      <c r="CM425" s="808"/>
      <c r="CN425" s="808"/>
      <c r="CO425" s="808"/>
      <c r="CP425" s="808"/>
      <c r="CQ425" s="808"/>
      <c r="CR425" s="808"/>
      <c r="CS425" s="808"/>
      <c r="CT425" s="808"/>
      <c r="CU425" s="808"/>
      <c r="CV425" s="808"/>
      <c r="CW425" s="808"/>
      <c r="CX425" s="808"/>
      <c r="CY425" s="808"/>
      <c r="CZ425" s="808"/>
      <c r="DA425" s="808"/>
      <c r="DB425" s="808"/>
      <c r="DC425" s="808"/>
      <c r="DD425" s="808"/>
      <c r="DE425" s="808"/>
      <c r="DF425" s="808"/>
      <c r="DG425" s="808"/>
      <c r="DH425" s="808"/>
      <c r="DI425" s="808"/>
      <c r="DJ425" s="808"/>
      <c r="DK425" s="808"/>
      <c r="DL425" s="808"/>
      <c r="DM425" s="808"/>
      <c r="DN425" s="808"/>
      <c r="DO425" s="808"/>
      <c r="DP425" s="808"/>
    </row>
    <row r="426" spans="1:120">
      <c r="A426" s="821"/>
      <c r="B426" s="813" t="s">
        <v>1346</v>
      </c>
      <c r="C426" s="814" t="s">
        <v>405</v>
      </c>
      <c r="D426" s="815">
        <v>0</v>
      </c>
      <c r="E426" s="815">
        <f>3667332.1/1000</f>
        <v>3667.3321000000001</v>
      </c>
      <c r="K426" s="808"/>
      <c r="M426" s="808"/>
      <c r="N426" s="808"/>
      <c r="O426" s="808"/>
      <c r="P426" s="808"/>
      <c r="Q426" s="808"/>
      <c r="R426" s="808"/>
      <c r="S426" s="808"/>
      <c r="T426" s="808"/>
      <c r="U426" s="808"/>
      <c r="V426" s="808"/>
      <c r="W426" s="808"/>
      <c r="X426" s="808"/>
      <c r="Y426" s="808"/>
      <c r="Z426" s="808"/>
      <c r="AA426" s="808"/>
      <c r="AB426" s="808"/>
      <c r="AC426" s="808"/>
      <c r="AD426" s="808"/>
      <c r="AE426" s="808"/>
      <c r="AF426" s="808"/>
      <c r="AG426" s="808"/>
      <c r="AH426" s="808"/>
      <c r="AI426" s="808"/>
      <c r="AJ426" s="808"/>
      <c r="AK426" s="808"/>
      <c r="AL426" s="808"/>
      <c r="AM426" s="808"/>
      <c r="AN426" s="808"/>
      <c r="AO426" s="808"/>
      <c r="AP426" s="808"/>
      <c r="AQ426" s="808"/>
      <c r="AR426" s="808"/>
      <c r="AS426" s="808"/>
      <c r="AT426" s="808"/>
      <c r="AU426" s="808"/>
      <c r="AV426" s="808"/>
      <c r="AW426" s="808"/>
      <c r="AX426" s="808"/>
      <c r="AY426" s="808"/>
      <c r="AZ426" s="808"/>
      <c r="BA426" s="808"/>
      <c r="BB426" s="808"/>
      <c r="BC426" s="808"/>
      <c r="BD426" s="808"/>
      <c r="BE426" s="808"/>
      <c r="BF426" s="808"/>
      <c r="BG426" s="808"/>
      <c r="BH426" s="808"/>
      <c r="BI426" s="808"/>
      <c r="BJ426" s="808"/>
      <c r="BK426" s="808"/>
      <c r="BL426" s="808"/>
      <c r="BM426" s="808"/>
      <c r="BN426" s="808"/>
      <c r="BO426" s="808"/>
      <c r="BP426" s="808"/>
      <c r="BQ426" s="808"/>
      <c r="BR426" s="808"/>
      <c r="BS426" s="808"/>
      <c r="BT426" s="808"/>
      <c r="BU426" s="808"/>
      <c r="BV426" s="808"/>
      <c r="BW426" s="808"/>
      <c r="BX426" s="808"/>
      <c r="BY426" s="808"/>
      <c r="BZ426" s="808"/>
      <c r="CA426" s="808"/>
      <c r="CB426" s="808"/>
      <c r="CC426" s="808"/>
      <c r="CD426" s="808"/>
      <c r="CE426" s="808"/>
      <c r="CF426" s="808"/>
      <c r="CG426" s="808"/>
      <c r="CH426" s="808"/>
      <c r="CI426" s="808"/>
      <c r="CJ426" s="808"/>
      <c r="CK426" s="808"/>
      <c r="CL426" s="808"/>
      <c r="CM426" s="808"/>
      <c r="CN426" s="808"/>
      <c r="CO426" s="808"/>
      <c r="CP426" s="808"/>
      <c r="CQ426" s="808"/>
      <c r="CR426" s="808"/>
      <c r="CS426" s="808"/>
      <c r="CT426" s="808"/>
      <c r="CU426" s="808"/>
      <c r="CV426" s="808"/>
      <c r="CW426" s="808"/>
      <c r="CX426" s="808"/>
      <c r="CY426" s="808"/>
      <c r="CZ426" s="808"/>
      <c r="DA426" s="808"/>
      <c r="DB426" s="808"/>
      <c r="DC426" s="808"/>
      <c r="DD426" s="808"/>
      <c r="DE426" s="808"/>
      <c r="DF426" s="808"/>
      <c r="DG426" s="808"/>
      <c r="DH426" s="808"/>
      <c r="DI426" s="808"/>
      <c r="DJ426" s="808"/>
      <c r="DK426" s="808"/>
      <c r="DL426" s="808"/>
      <c r="DM426" s="808"/>
      <c r="DN426" s="808"/>
      <c r="DO426" s="808"/>
      <c r="DP426" s="808"/>
    </row>
    <row r="427" spans="1:120">
      <c r="A427" s="821"/>
      <c r="B427" s="813" t="s">
        <v>1347</v>
      </c>
      <c r="C427" s="814" t="s">
        <v>1348</v>
      </c>
      <c r="D427" s="815">
        <v>259846.6</v>
      </c>
      <c r="E427" s="815">
        <f>329034479.35/1000</f>
        <v>329034.47935000004</v>
      </c>
      <c r="K427" s="808"/>
      <c r="M427" s="808"/>
      <c r="N427" s="808"/>
      <c r="O427" s="808"/>
      <c r="P427" s="808"/>
      <c r="Q427" s="808"/>
      <c r="R427" s="808"/>
      <c r="S427" s="808"/>
      <c r="T427" s="808"/>
      <c r="U427" s="808"/>
      <c r="V427" s="808"/>
      <c r="W427" s="808"/>
      <c r="X427" s="808"/>
      <c r="Y427" s="808"/>
      <c r="Z427" s="808"/>
      <c r="AA427" s="808"/>
      <c r="AB427" s="808"/>
      <c r="AC427" s="808"/>
      <c r="AD427" s="808"/>
      <c r="AE427" s="808"/>
      <c r="AF427" s="808"/>
      <c r="AG427" s="808"/>
      <c r="AH427" s="808"/>
      <c r="AI427" s="808"/>
      <c r="AJ427" s="808"/>
      <c r="AK427" s="808"/>
      <c r="AL427" s="808"/>
      <c r="AM427" s="808"/>
      <c r="AN427" s="808"/>
      <c r="AO427" s="808"/>
      <c r="AP427" s="808"/>
      <c r="AQ427" s="808"/>
      <c r="AR427" s="808"/>
      <c r="AS427" s="808"/>
      <c r="AT427" s="808"/>
      <c r="AU427" s="808"/>
      <c r="AV427" s="808"/>
      <c r="AW427" s="808"/>
      <c r="AX427" s="808"/>
      <c r="AY427" s="808"/>
      <c r="AZ427" s="808"/>
      <c r="BA427" s="808"/>
      <c r="BB427" s="808"/>
      <c r="BC427" s="808"/>
      <c r="BD427" s="808"/>
      <c r="BE427" s="808"/>
      <c r="BF427" s="808"/>
      <c r="BG427" s="808"/>
      <c r="BH427" s="808"/>
      <c r="BI427" s="808"/>
      <c r="BJ427" s="808"/>
      <c r="BK427" s="808"/>
      <c r="BL427" s="808"/>
      <c r="BM427" s="808"/>
      <c r="BN427" s="808"/>
      <c r="BO427" s="808"/>
      <c r="BP427" s="808"/>
      <c r="BQ427" s="808"/>
      <c r="BR427" s="808"/>
      <c r="BS427" s="808"/>
      <c r="BT427" s="808"/>
      <c r="BU427" s="808"/>
      <c r="BV427" s="808"/>
      <c r="BW427" s="808"/>
      <c r="BX427" s="808"/>
      <c r="BY427" s="808"/>
      <c r="BZ427" s="808"/>
      <c r="CA427" s="808"/>
      <c r="CB427" s="808"/>
      <c r="CC427" s="808"/>
      <c r="CD427" s="808"/>
      <c r="CE427" s="808"/>
      <c r="CF427" s="808"/>
      <c r="CG427" s="808"/>
      <c r="CH427" s="808"/>
      <c r="CI427" s="808"/>
      <c r="CJ427" s="808"/>
      <c r="CK427" s="808"/>
      <c r="CL427" s="808"/>
      <c r="CM427" s="808"/>
      <c r="CN427" s="808"/>
      <c r="CO427" s="808"/>
      <c r="CP427" s="808"/>
      <c r="CQ427" s="808"/>
      <c r="CR427" s="808"/>
      <c r="CS427" s="808"/>
      <c r="CT427" s="808"/>
      <c r="CU427" s="808"/>
      <c r="CV427" s="808"/>
      <c r="CW427" s="808"/>
      <c r="CX427" s="808"/>
      <c r="CY427" s="808"/>
      <c r="CZ427" s="808"/>
      <c r="DA427" s="808"/>
      <c r="DB427" s="808"/>
      <c r="DC427" s="808"/>
      <c r="DD427" s="808"/>
      <c r="DE427" s="808"/>
      <c r="DF427" s="808"/>
      <c r="DG427" s="808"/>
      <c r="DH427" s="808"/>
      <c r="DI427" s="808"/>
      <c r="DJ427" s="808"/>
      <c r="DK427" s="808"/>
      <c r="DL427" s="808"/>
      <c r="DM427" s="808"/>
      <c r="DN427" s="808"/>
      <c r="DO427" s="808"/>
      <c r="DP427" s="808"/>
    </row>
    <row r="428" spans="1:120">
      <c r="A428" s="821"/>
      <c r="B428" s="813" t="s">
        <v>1349</v>
      </c>
      <c r="C428" s="814" t="s">
        <v>407</v>
      </c>
      <c r="D428" s="815">
        <v>0</v>
      </c>
      <c r="E428" s="815"/>
      <c r="K428" s="808"/>
      <c r="M428" s="808"/>
      <c r="N428" s="808"/>
      <c r="O428" s="808"/>
      <c r="P428" s="808"/>
      <c r="Q428" s="808"/>
      <c r="R428" s="808"/>
      <c r="S428" s="808"/>
      <c r="T428" s="808"/>
      <c r="U428" s="808"/>
      <c r="V428" s="808"/>
      <c r="W428" s="808"/>
      <c r="X428" s="808"/>
      <c r="Y428" s="808"/>
      <c r="Z428" s="808"/>
      <c r="AA428" s="808"/>
      <c r="AB428" s="808"/>
      <c r="AC428" s="808"/>
      <c r="AD428" s="808"/>
      <c r="AE428" s="808"/>
      <c r="AF428" s="808"/>
      <c r="AG428" s="808"/>
      <c r="AH428" s="808"/>
      <c r="AI428" s="808"/>
      <c r="AJ428" s="808"/>
      <c r="AK428" s="808"/>
      <c r="AL428" s="808"/>
      <c r="AM428" s="808"/>
      <c r="AN428" s="808"/>
      <c r="AO428" s="808"/>
      <c r="AP428" s="808"/>
      <c r="AQ428" s="808"/>
      <c r="AR428" s="808"/>
      <c r="AS428" s="808"/>
      <c r="AT428" s="808"/>
      <c r="AU428" s="808"/>
      <c r="AV428" s="808"/>
      <c r="AW428" s="808"/>
      <c r="AX428" s="808"/>
      <c r="AY428" s="808"/>
      <c r="AZ428" s="808"/>
      <c r="BA428" s="808"/>
      <c r="BB428" s="808"/>
      <c r="BC428" s="808"/>
      <c r="BD428" s="808"/>
      <c r="BE428" s="808"/>
      <c r="BF428" s="808"/>
      <c r="BG428" s="808"/>
      <c r="BH428" s="808"/>
      <c r="BI428" s="808"/>
      <c r="BJ428" s="808"/>
      <c r="BK428" s="808"/>
      <c r="BL428" s="808"/>
      <c r="BM428" s="808"/>
      <c r="BN428" s="808"/>
      <c r="BO428" s="808"/>
      <c r="BP428" s="808"/>
      <c r="BQ428" s="808"/>
      <c r="BR428" s="808"/>
      <c r="BS428" s="808"/>
      <c r="BT428" s="808"/>
      <c r="BU428" s="808"/>
      <c r="BV428" s="808"/>
      <c r="BW428" s="808"/>
      <c r="BX428" s="808"/>
      <c r="BY428" s="808"/>
      <c r="BZ428" s="808"/>
      <c r="CA428" s="808"/>
      <c r="CB428" s="808"/>
      <c r="CC428" s="808"/>
      <c r="CD428" s="808"/>
      <c r="CE428" s="808"/>
      <c r="CF428" s="808"/>
      <c r="CG428" s="808"/>
      <c r="CH428" s="808"/>
      <c r="CI428" s="808"/>
      <c r="CJ428" s="808"/>
      <c r="CK428" s="808"/>
      <c r="CL428" s="808"/>
      <c r="CM428" s="808"/>
      <c r="CN428" s="808"/>
      <c r="CO428" s="808"/>
      <c r="CP428" s="808"/>
      <c r="CQ428" s="808"/>
      <c r="CR428" s="808"/>
      <c r="CS428" s="808"/>
      <c r="CT428" s="808"/>
      <c r="CU428" s="808"/>
      <c r="CV428" s="808"/>
      <c r="CW428" s="808"/>
      <c r="CX428" s="808"/>
      <c r="CY428" s="808"/>
      <c r="CZ428" s="808"/>
      <c r="DA428" s="808"/>
      <c r="DB428" s="808"/>
      <c r="DC428" s="808"/>
      <c r="DD428" s="808"/>
      <c r="DE428" s="808"/>
      <c r="DF428" s="808"/>
      <c r="DG428" s="808"/>
      <c r="DH428" s="808"/>
      <c r="DI428" s="808"/>
      <c r="DJ428" s="808"/>
      <c r="DK428" s="808"/>
      <c r="DL428" s="808"/>
      <c r="DM428" s="808"/>
      <c r="DN428" s="808"/>
      <c r="DO428" s="808"/>
      <c r="DP428" s="808"/>
    </row>
    <row r="429" spans="1:120">
      <c r="A429" s="821"/>
      <c r="B429" s="813" t="s">
        <v>1350</v>
      </c>
      <c r="C429" s="814" t="s">
        <v>408</v>
      </c>
      <c r="D429" s="815">
        <v>0</v>
      </c>
      <c r="E429" s="815"/>
      <c r="K429" s="808"/>
      <c r="M429" s="808"/>
      <c r="N429" s="808"/>
      <c r="O429" s="808"/>
      <c r="P429" s="808"/>
      <c r="Q429" s="808"/>
      <c r="R429" s="808"/>
      <c r="S429" s="808"/>
      <c r="T429" s="808"/>
      <c r="U429" s="808"/>
      <c r="V429" s="808"/>
      <c r="W429" s="808"/>
      <c r="X429" s="808"/>
      <c r="Y429" s="808"/>
      <c r="Z429" s="808"/>
      <c r="AA429" s="808"/>
      <c r="AB429" s="808"/>
      <c r="AC429" s="808"/>
      <c r="AD429" s="808"/>
      <c r="AE429" s="808"/>
      <c r="AF429" s="808"/>
      <c r="AG429" s="808"/>
      <c r="AH429" s="808"/>
      <c r="AI429" s="808"/>
      <c r="AJ429" s="808"/>
      <c r="AK429" s="808"/>
      <c r="AL429" s="808"/>
      <c r="AM429" s="808"/>
      <c r="AN429" s="808"/>
      <c r="AO429" s="808"/>
      <c r="AP429" s="808"/>
      <c r="AQ429" s="808"/>
      <c r="AR429" s="808"/>
      <c r="AS429" s="808"/>
      <c r="AT429" s="808"/>
      <c r="AU429" s="808"/>
      <c r="AV429" s="808"/>
      <c r="AW429" s="808"/>
      <c r="AX429" s="808"/>
      <c r="AY429" s="808"/>
      <c r="AZ429" s="808"/>
      <c r="BA429" s="808"/>
      <c r="BB429" s="808"/>
      <c r="BC429" s="808"/>
      <c r="BD429" s="808"/>
      <c r="BE429" s="808"/>
      <c r="BF429" s="808"/>
      <c r="BG429" s="808"/>
      <c r="BH429" s="808"/>
      <c r="BI429" s="808"/>
      <c r="BJ429" s="808"/>
      <c r="BK429" s="808"/>
      <c r="BL429" s="808"/>
      <c r="BM429" s="808"/>
      <c r="BN429" s="808"/>
      <c r="BO429" s="808"/>
      <c r="BP429" s="808"/>
      <c r="BQ429" s="808"/>
      <c r="BR429" s="808"/>
      <c r="BS429" s="808"/>
      <c r="BT429" s="808"/>
      <c r="BU429" s="808"/>
      <c r="BV429" s="808"/>
      <c r="BW429" s="808"/>
      <c r="BX429" s="808"/>
      <c r="BY429" s="808"/>
      <c r="BZ429" s="808"/>
      <c r="CA429" s="808"/>
      <c r="CB429" s="808"/>
      <c r="CC429" s="808"/>
      <c r="CD429" s="808"/>
      <c r="CE429" s="808"/>
      <c r="CF429" s="808"/>
      <c r="CG429" s="808"/>
      <c r="CH429" s="808"/>
      <c r="CI429" s="808"/>
      <c r="CJ429" s="808"/>
      <c r="CK429" s="808"/>
      <c r="CL429" s="808"/>
      <c r="CM429" s="808"/>
      <c r="CN429" s="808"/>
      <c r="CO429" s="808"/>
      <c r="CP429" s="808"/>
      <c r="CQ429" s="808"/>
      <c r="CR429" s="808"/>
      <c r="CS429" s="808"/>
      <c r="CT429" s="808"/>
      <c r="CU429" s="808"/>
      <c r="CV429" s="808"/>
      <c r="CW429" s="808"/>
      <c r="CX429" s="808"/>
      <c r="CY429" s="808"/>
      <c r="CZ429" s="808"/>
      <c r="DA429" s="808"/>
      <c r="DB429" s="808"/>
      <c r="DC429" s="808"/>
      <c r="DD429" s="808"/>
      <c r="DE429" s="808"/>
      <c r="DF429" s="808"/>
      <c r="DG429" s="808"/>
      <c r="DH429" s="808"/>
      <c r="DI429" s="808"/>
      <c r="DJ429" s="808"/>
      <c r="DK429" s="808"/>
      <c r="DL429" s="808"/>
      <c r="DM429" s="808"/>
      <c r="DN429" s="808"/>
      <c r="DO429" s="808"/>
      <c r="DP429" s="808"/>
    </row>
    <row r="430" spans="1:120">
      <c r="A430" s="821"/>
      <c r="B430" s="813" t="s">
        <v>1351</v>
      </c>
      <c r="C430" s="814" t="s">
        <v>409</v>
      </c>
      <c r="D430" s="815">
        <v>122199.2</v>
      </c>
      <c r="E430" s="815">
        <f>109140420.15/1000</f>
        <v>109140.42015000001</v>
      </c>
      <c r="K430" s="808"/>
      <c r="M430" s="808"/>
      <c r="N430" s="808"/>
      <c r="O430" s="808"/>
      <c r="P430" s="808"/>
      <c r="Q430" s="808"/>
      <c r="R430" s="808"/>
      <c r="S430" s="808"/>
      <c r="T430" s="808"/>
      <c r="U430" s="808"/>
      <c r="V430" s="808"/>
      <c r="W430" s="808"/>
      <c r="X430" s="808"/>
      <c r="Y430" s="808"/>
      <c r="Z430" s="808"/>
      <c r="AA430" s="808"/>
      <c r="AB430" s="808"/>
      <c r="AC430" s="808"/>
      <c r="AD430" s="808"/>
      <c r="AE430" s="808"/>
      <c r="AF430" s="808"/>
      <c r="AG430" s="808"/>
      <c r="AH430" s="808"/>
      <c r="AI430" s="808"/>
      <c r="AJ430" s="808"/>
      <c r="AK430" s="808"/>
      <c r="AL430" s="808"/>
      <c r="AM430" s="808"/>
      <c r="AN430" s="808"/>
      <c r="AO430" s="808"/>
      <c r="AP430" s="808"/>
      <c r="AQ430" s="808"/>
      <c r="AR430" s="808"/>
      <c r="AS430" s="808"/>
      <c r="AT430" s="808"/>
      <c r="AU430" s="808"/>
      <c r="AV430" s="808"/>
      <c r="AW430" s="808"/>
      <c r="AX430" s="808"/>
      <c r="AY430" s="808"/>
      <c r="AZ430" s="808"/>
      <c r="BA430" s="808"/>
      <c r="BB430" s="808"/>
      <c r="BC430" s="808"/>
      <c r="BD430" s="808"/>
      <c r="BE430" s="808"/>
      <c r="BF430" s="808"/>
      <c r="BG430" s="808"/>
      <c r="BH430" s="808"/>
      <c r="BI430" s="808"/>
      <c r="BJ430" s="808"/>
      <c r="BK430" s="808"/>
      <c r="BL430" s="808"/>
      <c r="BM430" s="808"/>
      <c r="BN430" s="808"/>
      <c r="BO430" s="808"/>
      <c r="BP430" s="808"/>
      <c r="BQ430" s="808"/>
      <c r="BR430" s="808"/>
      <c r="BS430" s="808"/>
      <c r="BT430" s="808"/>
      <c r="BU430" s="808"/>
      <c r="BV430" s="808"/>
      <c r="BW430" s="808"/>
      <c r="BX430" s="808"/>
      <c r="BY430" s="808"/>
      <c r="BZ430" s="808"/>
      <c r="CA430" s="808"/>
      <c r="CB430" s="808"/>
      <c r="CC430" s="808"/>
      <c r="CD430" s="808"/>
      <c r="CE430" s="808"/>
      <c r="CF430" s="808"/>
      <c r="CG430" s="808"/>
      <c r="CH430" s="808"/>
      <c r="CI430" s="808"/>
      <c r="CJ430" s="808"/>
      <c r="CK430" s="808"/>
      <c r="CL430" s="808"/>
      <c r="CM430" s="808"/>
      <c r="CN430" s="808"/>
      <c r="CO430" s="808"/>
      <c r="CP430" s="808"/>
      <c r="CQ430" s="808"/>
      <c r="CR430" s="808"/>
      <c r="CS430" s="808"/>
      <c r="CT430" s="808"/>
      <c r="CU430" s="808"/>
      <c r="CV430" s="808"/>
      <c r="CW430" s="808"/>
      <c r="CX430" s="808"/>
      <c r="CY430" s="808"/>
      <c r="CZ430" s="808"/>
      <c r="DA430" s="808"/>
      <c r="DB430" s="808"/>
      <c r="DC430" s="808"/>
      <c r="DD430" s="808"/>
      <c r="DE430" s="808"/>
      <c r="DF430" s="808"/>
      <c r="DG430" s="808"/>
      <c r="DH430" s="808"/>
      <c r="DI430" s="808"/>
      <c r="DJ430" s="808"/>
      <c r="DK430" s="808"/>
      <c r="DL430" s="808"/>
      <c r="DM430" s="808"/>
      <c r="DN430" s="808"/>
      <c r="DO430" s="808"/>
      <c r="DP430" s="808"/>
    </row>
    <row r="431" spans="1:120">
      <c r="A431" s="821"/>
      <c r="B431" s="813" t="s">
        <v>1352</v>
      </c>
      <c r="C431" s="814" t="s">
        <v>410</v>
      </c>
      <c r="D431" s="815">
        <v>0</v>
      </c>
      <c r="E431" s="815">
        <f>2420911.36/1000</f>
        <v>2420.9113600000001</v>
      </c>
      <c r="K431" s="808"/>
      <c r="M431" s="808"/>
      <c r="N431" s="808"/>
      <c r="O431" s="808"/>
      <c r="P431" s="808"/>
      <c r="Q431" s="808"/>
      <c r="R431" s="808"/>
      <c r="S431" s="808"/>
      <c r="T431" s="808"/>
      <c r="U431" s="808"/>
      <c r="V431" s="808"/>
      <c r="W431" s="808"/>
      <c r="X431" s="808"/>
      <c r="Y431" s="808"/>
      <c r="Z431" s="808"/>
      <c r="AA431" s="808"/>
      <c r="AB431" s="808"/>
      <c r="AC431" s="808"/>
      <c r="AD431" s="808"/>
      <c r="AE431" s="808"/>
      <c r="AF431" s="808"/>
      <c r="AG431" s="808"/>
      <c r="AH431" s="808"/>
      <c r="AI431" s="808"/>
      <c r="AJ431" s="808"/>
      <c r="AK431" s="808"/>
      <c r="AL431" s="808"/>
      <c r="AM431" s="808"/>
      <c r="AN431" s="808"/>
      <c r="AO431" s="808"/>
      <c r="AP431" s="808"/>
      <c r="AQ431" s="808"/>
      <c r="AR431" s="808"/>
      <c r="AS431" s="808"/>
      <c r="AT431" s="808"/>
      <c r="AU431" s="808"/>
      <c r="AV431" s="808"/>
      <c r="AW431" s="808"/>
      <c r="AX431" s="808"/>
      <c r="AY431" s="808"/>
      <c r="AZ431" s="808"/>
      <c r="BA431" s="808"/>
      <c r="BB431" s="808"/>
      <c r="BC431" s="808"/>
      <c r="BD431" s="808"/>
      <c r="BE431" s="808"/>
      <c r="BF431" s="808"/>
      <c r="BG431" s="808"/>
      <c r="BH431" s="808"/>
      <c r="BI431" s="808"/>
      <c r="BJ431" s="808"/>
      <c r="BK431" s="808"/>
      <c r="BL431" s="808"/>
      <c r="BM431" s="808"/>
      <c r="BN431" s="808"/>
      <c r="BO431" s="808"/>
      <c r="BP431" s="808"/>
      <c r="BQ431" s="808"/>
      <c r="BR431" s="808"/>
      <c r="BS431" s="808"/>
      <c r="BT431" s="808"/>
      <c r="BU431" s="808"/>
      <c r="BV431" s="808"/>
      <c r="BW431" s="808"/>
      <c r="BX431" s="808"/>
      <c r="BY431" s="808"/>
      <c r="BZ431" s="808"/>
      <c r="CA431" s="808"/>
      <c r="CB431" s="808"/>
      <c r="CC431" s="808"/>
      <c r="CD431" s="808"/>
      <c r="CE431" s="808"/>
      <c r="CF431" s="808"/>
      <c r="CG431" s="808"/>
      <c r="CH431" s="808"/>
      <c r="CI431" s="808"/>
      <c r="CJ431" s="808"/>
      <c r="CK431" s="808"/>
      <c r="CL431" s="808"/>
      <c r="CM431" s="808"/>
      <c r="CN431" s="808"/>
      <c r="CO431" s="808"/>
      <c r="CP431" s="808"/>
      <c r="CQ431" s="808"/>
      <c r="CR431" s="808"/>
      <c r="CS431" s="808"/>
      <c r="CT431" s="808"/>
      <c r="CU431" s="808"/>
      <c r="CV431" s="808"/>
      <c r="CW431" s="808"/>
      <c r="CX431" s="808"/>
      <c r="CY431" s="808"/>
      <c r="CZ431" s="808"/>
      <c r="DA431" s="808"/>
      <c r="DB431" s="808"/>
      <c r="DC431" s="808"/>
      <c r="DD431" s="808"/>
      <c r="DE431" s="808"/>
      <c r="DF431" s="808"/>
      <c r="DG431" s="808"/>
      <c r="DH431" s="808"/>
      <c r="DI431" s="808"/>
      <c r="DJ431" s="808"/>
      <c r="DK431" s="808"/>
      <c r="DL431" s="808"/>
      <c r="DM431" s="808"/>
      <c r="DN431" s="808"/>
      <c r="DO431" s="808"/>
      <c r="DP431" s="808"/>
    </row>
    <row r="432" spans="1:120">
      <c r="A432" s="821"/>
      <c r="B432" s="813" t="s">
        <v>1353</v>
      </c>
      <c r="C432" s="814" t="s">
        <v>411</v>
      </c>
      <c r="D432" s="815">
        <v>0</v>
      </c>
      <c r="E432" s="815"/>
      <c r="K432" s="808"/>
      <c r="M432" s="808"/>
      <c r="N432" s="808"/>
      <c r="O432" s="808"/>
      <c r="P432" s="808"/>
      <c r="Q432" s="808"/>
      <c r="R432" s="808"/>
      <c r="S432" s="808"/>
      <c r="T432" s="808"/>
      <c r="U432" s="808"/>
      <c r="V432" s="808"/>
      <c r="W432" s="808"/>
      <c r="X432" s="808"/>
      <c r="Y432" s="808"/>
      <c r="Z432" s="808"/>
      <c r="AA432" s="808"/>
      <c r="AB432" s="808"/>
      <c r="AC432" s="808"/>
      <c r="AD432" s="808"/>
      <c r="AE432" s="808"/>
      <c r="AF432" s="808"/>
      <c r="AG432" s="808"/>
      <c r="AH432" s="808"/>
      <c r="AI432" s="808"/>
      <c r="AJ432" s="808"/>
      <c r="AK432" s="808"/>
      <c r="AL432" s="808"/>
      <c r="AM432" s="808"/>
      <c r="AN432" s="808"/>
      <c r="AO432" s="808"/>
      <c r="AP432" s="808"/>
      <c r="AQ432" s="808"/>
      <c r="AR432" s="808"/>
      <c r="AS432" s="808"/>
      <c r="AT432" s="808"/>
      <c r="AU432" s="808"/>
      <c r="AV432" s="808"/>
      <c r="AW432" s="808"/>
      <c r="AX432" s="808"/>
      <c r="AY432" s="808"/>
      <c r="AZ432" s="808"/>
      <c r="BA432" s="808"/>
      <c r="BB432" s="808"/>
      <c r="BC432" s="808"/>
      <c r="BD432" s="808"/>
      <c r="BE432" s="808"/>
      <c r="BF432" s="808"/>
      <c r="BG432" s="808"/>
      <c r="BH432" s="808"/>
      <c r="BI432" s="808"/>
      <c r="BJ432" s="808"/>
      <c r="BK432" s="808"/>
      <c r="BL432" s="808"/>
      <c r="BM432" s="808"/>
      <c r="BN432" s="808"/>
      <c r="BO432" s="808"/>
      <c r="BP432" s="808"/>
      <c r="BQ432" s="808"/>
      <c r="BR432" s="808"/>
      <c r="BS432" s="808"/>
      <c r="BT432" s="808"/>
      <c r="BU432" s="808"/>
      <c r="BV432" s="808"/>
      <c r="BW432" s="808"/>
      <c r="BX432" s="808"/>
      <c r="BY432" s="808"/>
      <c r="BZ432" s="808"/>
      <c r="CA432" s="808"/>
      <c r="CB432" s="808"/>
      <c r="CC432" s="808"/>
      <c r="CD432" s="808"/>
      <c r="CE432" s="808"/>
      <c r="CF432" s="808"/>
      <c r="CG432" s="808"/>
      <c r="CH432" s="808"/>
      <c r="CI432" s="808"/>
      <c r="CJ432" s="808"/>
      <c r="CK432" s="808"/>
      <c r="CL432" s="808"/>
      <c r="CM432" s="808"/>
      <c r="CN432" s="808"/>
      <c r="CO432" s="808"/>
      <c r="CP432" s="808"/>
      <c r="CQ432" s="808"/>
      <c r="CR432" s="808"/>
      <c r="CS432" s="808"/>
      <c r="CT432" s="808"/>
      <c r="CU432" s="808"/>
      <c r="CV432" s="808"/>
      <c r="CW432" s="808"/>
      <c r="CX432" s="808"/>
      <c r="CY432" s="808"/>
      <c r="CZ432" s="808"/>
      <c r="DA432" s="808"/>
      <c r="DB432" s="808"/>
      <c r="DC432" s="808"/>
      <c r="DD432" s="808"/>
      <c r="DE432" s="808"/>
      <c r="DF432" s="808"/>
      <c r="DG432" s="808"/>
      <c r="DH432" s="808"/>
      <c r="DI432" s="808"/>
      <c r="DJ432" s="808"/>
      <c r="DK432" s="808"/>
      <c r="DL432" s="808"/>
      <c r="DM432" s="808"/>
      <c r="DN432" s="808"/>
      <c r="DO432" s="808"/>
      <c r="DP432" s="808"/>
    </row>
    <row r="433" spans="1:120">
      <c r="A433" s="821"/>
      <c r="B433" s="813" t="s">
        <v>1354</v>
      </c>
      <c r="C433" s="814" t="s">
        <v>231</v>
      </c>
      <c r="D433" s="815">
        <v>8325507.9800000004</v>
      </c>
      <c r="E433" s="851">
        <f>404453023.2/1000+258395276.94/1000+29112727.6/1000</f>
        <v>691961.02773999993</v>
      </c>
      <c r="K433" s="808"/>
      <c r="M433" s="808"/>
      <c r="N433" s="808"/>
      <c r="O433" s="808"/>
      <c r="P433" s="808"/>
      <c r="Q433" s="808"/>
      <c r="R433" s="808"/>
      <c r="S433" s="808"/>
      <c r="T433" s="808"/>
      <c r="U433" s="808"/>
      <c r="V433" s="808"/>
      <c r="W433" s="808"/>
      <c r="X433" s="808"/>
      <c r="Y433" s="808"/>
      <c r="Z433" s="808"/>
      <c r="AA433" s="808"/>
      <c r="AB433" s="808"/>
      <c r="AC433" s="808"/>
      <c r="AD433" s="808"/>
      <c r="AE433" s="808"/>
      <c r="AF433" s="808"/>
      <c r="AG433" s="808"/>
      <c r="AH433" s="808"/>
      <c r="AI433" s="808"/>
      <c r="AJ433" s="808"/>
      <c r="AK433" s="808"/>
      <c r="AL433" s="808"/>
      <c r="AM433" s="808"/>
      <c r="AN433" s="808"/>
      <c r="AO433" s="808"/>
      <c r="AP433" s="808"/>
      <c r="AQ433" s="808"/>
      <c r="AR433" s="808"/>
      <c r="AS433" s="808"/>
      <c r="AT433" s="808"/>
      <c r="AU433" s="808"/>
      <c r="AV433" s="808"/>
      <c r="AW433" s="808"/>
      <c r="AX433" s="808"/>
      <c r="AY433" s="808"/>
      <c r="AZ433" s="808"/>
      <c r="BA433" s="808"/>
      <c r="BB433" s="808"/>
      <c r="BC433" s="808"/>
      <c r="BD433" s="808"/>
      <c r="BE433" s="808"/>
      <c r="BF433" s="808"/>
      <c r="BG433" s="808"/>
      <c r="BH433" s="808"/>
      <c r="BI433" s="808"/>
      <c r="BJ433" s="808"/>
      <c r="BK433" s="808"/>
      <c r="BL433" s="808"/>
      <c r="BM433" s="808"/>
      <c r="BN433" s="808"/>
      <c r="BO433" s="808"/>
      <c r="BP433" s="808"/>
      <c r="BQ433" s="808"/>
      <c r="BR433" s="808"/>
      <c r="BS433" s="808"/>
      <c r="BT433" s="808"/>
      <c r="BU433" s="808"/>
      <c r="BV433" s="808"/>
      <c r="BW433" s="808"/>
      <c r="BX433" s="808"/>
      <c r="BY433" s="808"/>
      <c r="BZ433" s="808"/>
      <c r="CA433" s="808"/>
      <c r="CB433" s="808"/>
      <c r="CC433" s="808"/>
      <c r="CD433" s="808"/>
      <c r="CE433" s="808"/>
      <c r="CF433" s="808"/>
      <c r="CG433" s="808"/>
      <c r="CH433" s="808"/>
      <c r="CI433" s="808"/>
      <c r="CJ433" s="808"/>
      <c r="CK433" s="808"/>
      <c r="CL433" s="808"/>
      <c r="CM433" s="808"/>
      <c r="CN433" s="808"/>
      <c r="CO433" s="808"/>
      <c r="CP433" s="808"/>
      <c r="CQ433" s="808"/>
      <c r="CR433" s="808"/>
      <c r="CS433" s="808"/>
      <c r="CT433" s="808"/>
      <c r="CU433" s="808"/>
      <c r="CV433" s="808"/>
      <c r="CW433" s="808"/>
      <c r="CX433" s="808"/>
      <c r="CY433" s="808"/>
      <c r="CZ433" s="808"/>
      <c r="DA433" s="808"/>
      <c r="DB433" s="808"/>
      <c r="DC433" s="808"/>
      <c r="DD433" s="808"/>
      <c r="DE433" s="808"/>
      <c r="DF433" s="808"/>
      <c r="DG433" s="808"/>
      <c r="DH433" s="808"/>
      <c r="DI433" s="808"/>
      <c r="DJ433" s="808"/>
      <c r="DK433" s="808"/>
      <c r="DL433" s="808"/>
      <c r="DM433" s="808"/>
      <c r="DN433" s="808"/>
      <c r="DO433" s="808"/>
      <c r="DP433" s="808"/>
    </row>
    <row r="434" spans="1:120">
      <c r="A434" s="821"/>
      <c r="B434" s="813" t="s">
        <v>1201</v>
      </c>
      <c r="C434" s="816" t="s">
        <v>82</v>
      </c>
      <c r="D434" s="815">
        <v>13278879.48</v>
      </c>
      <c r="E434" s="815">
        <f>SUM(E413:E433)</f>
        <v>8822308.8141800016</v>
      </c>
      <c r="K434" s="808"/>
      <c r="M434" s="808"/>
      <c r="N434" s="808"/>
      <c r="O434" s="808"/>
      <c r="P434" s="808"/>
      <c r="Q434" s="808"/>
      <c r="R434" s="808"/>
      <c r="S434" s="808"/>
      <c r="T434" s="808"/>
      <c r="U434" s="808"/>
      <c r="V434" s="808"/>
      <c r="W434" s="808"/>
      <c r="X434" s="808"/>
      <c r="Y434" s="808"/>
      <c r="Z434" s="808"/>
      <c r="AA434" s="808"/>
      <c r="AB434" s="808"/>
      <c r="AC434" s="808"/>
      <c r="AD434" s="808"/>
      <c r="AE434" s="808"/>
      <c r="AF434" s="808"/>
      <c r="AG434" s="808"/>
      <c r="AH434" s="808"/>
      <c r="AI434" s="808"/>
      <c r="AJ434" s="808"/>
      <c r="AK434" s="808"/>
      <c r="AL434" s="808"/>
      <c r="AM434" s="808"/>
      <c r="AN434" s="808"/>
      <c r="AO434" s="808"/>
      <c r="AP434" s="808"/>
      <c r="AQ434" s="808"/>
      <c r="AR434" s="808"/>
      <c r="AS434" s="808"/>
      <c r="AT434" s="808"/>
      <c r="AU434" s="808"/>
      <c r="AV434" s="808"/>
      <c r="AW434" s="808"/>
      <c r="AX434" s="808"/>
      <c r="AY434" s="808"/>
      <c r="AZ434" s="808"/>
      <c r="BA434" s="808"/>
      <c r="BB434" s="808"/>
      <c r="BC434" s="808"/>
      <c r="BD434" s="808"/>
      <c r="BE434" s="808"/>
      <c r="BF434" s="808"/>
      <c r="BG434" s="808"/>
      <c r="BH434" s="808"/>
      <c r="BI434" s="808"/>
      <c r="BJ434" s="808"/>
      <c r="BK434" s="808"/>
      <c r="BL434" s="808"/>
      <c r="BM434" s="808"/>
      <c r="BN434" s="808"/>
      <c r="BO434" s="808"/>
      <c r="BP434" s="808"/>
      <c r="BQ434" s="808"/>
      <c r="BR434" s="808"/>
      <c r="BS434" s="808"/>
      <c r="BT434" s="808"/>
      <c r="BU434" s="808"/>
      <c r="BV434" s="808"/>
      <c r="BW434" s="808"/>
      <c r="BX434" s="808"/>
      <c r="BY434" s="808"/>
      <c r="BZ434" s="808"/>
      <c r="CA434" s="808"/>
      <c r="CB434" s="808"/>
      <c r="CC434" s="808"/>
      <c r="CD434" s="808"/>
      <c r="CE434" s="808"/>
      <c r="CF434" s="808"/>
      <c r="CG434" s="808"/>
      <c r="CH434" s="808"/>
      <c r="CI434" s="808"/>
      <c r="CJ434" s="808"/>
      <c r="CK434" s="808"/>
      <c r="CL434" s="808"/>
      <c r="CM434" s="808"/>
      <c r="CN434" s="808"/>
      <c r="CO434" s="808"/>
      <c r="CP434" s="808"/>
      <c r="CQ434" s="808"/>
      <c r="CR434" s="808"/>
      <c r="CS434" s="808"/>
      <c r="CT434" s="808"/>
      <c r="CU434" s="808"/>
      <c r="CV434" s="808"/>
      <c r="CW434" s="808"/>
      <c r="CX434" s="808"/>
      <c r="CY434" s="808"/>
      <c r="CZ434" s="808"/>
      <c r="DA434" s="808"/>
      <c r="DB434" s="808"/>
      <c r="DC434" s="808"/>
      <c r="DD434" s="808"/>
      <c r="DE434" s="808"/>
      <c r="DF434" s="808"/>
      <c r="DG434" s="808"/>
      <c r="DH434" s="808"/>
      <c r="DI434" s="808"/>
      <c r="DJ434" s="808"/>
      <c r="DK434" s="808"/>
      <c r="DL434" s="808"/>
      <c r="DM434" s="808"/>
      <c r="DN434" s="808"/>
      <c r="DO434" s="808"/>
      <c r="DP434" s="808"/>
    </row>
    <row r="435" spans="1:120">
      <c r="A435" s="821" t="s">
        <v>1201</v>
      </c>
      <c r="B435" s="807" t="s">
        <v>1201</v>
      </c>
      <c r="C435" s="808" t="s">
        <v>1201</v>
      </c>
      <c r="D435" s="214">
        <f>+D434-income!C16/1000-income!C17/1000</f>
        <v>-26341675.157422185</v>
      </c>
      <c r="E435" s="214">
        <f>+E434-income!D16/1000</f>
        <v>-4225279.5041799955</v>
      </c>
      <c r="K435" s="808"/>
      <c r="M435" s="808"/>
      <c r="N435" s="808"/>
      <c r="O435" s="808"/>
      <c r="P435" s="808"/>
      <c r="Q435" s="808"/>
      <c r="R435" s="808"/>
      <c r="S435" s="808"/>
      <c r="T435" s="808"/>
      <c r="U435" s="808"/>
      <c r="V435" s="808"/>
      <c r="W435" s="808"/>
      <c r="X435" s="808"/>
      <c r="Y435" s="808"/>
      <c r="Z435" s="808"/>
      <c r="AA435" s="808"/>
      <c r="AB435" s="808"/>
      <c r="AC435" s="808"/>
      <c r="AD435" s="808"/>
      <c r="AE435" s="808"/>
      <c r="AF435" s="808"/>
      <c r="AG435" s="808"/>
      <c r="AH435" s="808"/>
      <c r="AI435" s="808"/>
      <c r="AJ435" s="808"/>
      <c r="AK435" s="808"/>
      <c r="AL435" s="808"/>
      <c r="AM435" s="808"/>
      <c r="AN435" s="808"/>
      <c r="AO435" s="808"/>
      <c r="AP435" s="808"/>
      <c r="AQ435" s="808"/>
      <c r="AR435" s="808"/>
      <c r="AS435" s="808"/>
      <c r="AT435" s="808"/>
      <c r="AU435" s="808"/>
      <c r="AV435" s="808"/>
      <c r="AW435" s="808"/>
      <c r="AX435" s="808"/>
      <c r="AY435" s="808"/>
      <c r="AZ435" s="808"/>
      <c r="BA435" s="808"/>
      <c r="BB435" s="808"/>
      <c r="BC435" s="808"/>
      <c r="BD435" s="808"/>
      <c r="BE435" s="808"/>
      <c r="BF435" s="808"/>
      <c r="BG435" s="808"/>
      <c r="BH435" s="808"/>
      <c r="BI435" s="808"/>
      <c r="BJ435" s="808"/>
      <c r="BK435" s="808"/>
      <c r="BL435" s="808"/>
      <c r="BM435" s="808"/>
      <c r="BN435" s="808"/>
      <c r="BO435" s="808"/>
      <c r="BP435" s="984"/>
      <c r="BQ435" s="984"/>
      <c r="BR435" s="984"/>
      <c r="BS435" s="984"/>
      <c r="BT435" s="984"/>
      <c r="BU435" s="984"/>
      <c r="BV435" s="984"/>
      <c r="BW435" s="984"/>
      <c r="BX435" s="984"/>
      <c r="BY435" s="984"/>
      <c r="BZ435" s="984"/>
      <c r="CA435" s="984"/>
      <c r="CB435" s="984"/>
      <c r="CC435" s="984"/>
      <c r="CD435" s="984"/>
      <c r="CE435" s="984"/>
      <c r="CF435" s="984"/>
      <c r="CG435" s="984"/>
      <c r="CH435" s="984"/>
      <c r="CI435" s="984"/>
      <c r="CJ435" s="984"/>
      <c r="CK435" s="984"/>
      <c r="CL435" s="984"/>
      <c r="CM435" s="984"/>
      <c r="CN435" s="984"/>
      <c r="CO435" s="984"/>
      <c r="CP435" s="984"/>
      <c r="CQ435" s="984"/>
      <c r="CR435" s="984"/>
      <c r="CS435" s="984"/>
      <c r="CT435" s="984"/>
      <c r="CU435" s="984"/>
      <c r="CV435" s="984"/>
      <c r="CW435" s="984"/>
      <c r="CX435" s="984"/>
      <c r="CY435" s="984"/>
      <c r="CZ435" s="984"/>
      <c r="DA435" s="984"/>
      <c r="DB435" s="984"/>
      <c r="DC435" s="984"/>
      <c r="DD435" s="984"/>
      <c r="DE435" s="984"/>
      <c r="DF435" s="984"/>
      <c r="DG435" s="984"/>
      <c r="DH435" s="984"/>
      <c r="DI435" s="984"/>
      <c r="DJ435" s="984"/>
      <c r="DK435" s="984"/>
      <c r="DL435" s="984"/>
      <c r="DM435" s="984"/>
      <c r="DN435" s="984"/>
      <c r="DO435" s="984"/>
      <c r="DP435" s="984"/>
    </row>
    <row r="436" spans="1:120">
      <c r="E436" s="214" t="e">
        <f>+income!#REF!</f>
        <v>#REF!</v>
      </c>
    </row>
    <row r="437" spans="1:120">
      <c r="E437" s="214" t="e">
        <f>+E436-E434</f>
        <v>#REF!</v>
      </c>
    </row>
  </sheetData>
  <mergeCells count="20">
    <mergeCell ref="BP64:DP64"/>
    <mergeCell ref="BP223:DP223"/>
    <mergeCell ref="BP150:DP150"/>
    <mergeCell ref="BP169:DP169"/>
    <mergeCell ref="BP181:DP181"/>
    <mergeCell ref="BP189:DP189"/>
    <mergeCell ref="BP435:DP435"/>
    <mergeCell ref="BP373:DP373"/>
    <mergeCell ref="BL409:DL409"/>
    <mergeCell ref="BP351:DP351"/>
    <mergeCell ref="BP236:DP236"/>
    <mergeCell ref="BP244:DP244"/>
    <mergeCell ref="BP248:DP248"/>
    <mergeCell ref="BP266:DP266"/>
    <mergeCell ref="BP275:DP275"/>
    <mergeCell ref="BP284:DP284"/>
    <mergeCell ref="BP294:DP294"/>
    <mergeCell ref="BP320:DP320"/>
    <mergeCell ref="BP329:DP329"/>
    <mergeCell ref="BP337:DP337"/>
  </mergeCells>
  <pageMargins left="0.17" right="0.17" top="0.43" bottom="0.56000000000000005" header="0.31" footer="0.17"/>
  <pageSetup paperSize="9" scale="7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T17:V28"/>
  <sheetViews>
    <sheetView workbookViewId="0">
      <selection activeCell="T20" sqref="T20"/>
    </sheetView>
  </sheetViews>
  <sheetFormatPr defaultRowHeight="13.2"/>
  <cols>
    <col min="20" max="20" width="8.77734375" style="854" bestFit="1" customWidth="1"/>
    <col min="21" max="21" width="10.77734375" style="427" bestFit="1" customWidth="1"/>
    <col min="22" max="22" width="10" style="427" bestFit="1" customWidth="1"/>
  </cols>
  <sheetData>
    <row r="17" spans="20:22">
      <c r="T17" s="854" t="s">
        <v>1404</v>
      </c>
    </row>
    <row r="19" spans="20:22">
      <c r="T19" s="854" t="s">
        <v>1402</v>
      </c>
      <c r="U19" s="427">
        <v>2281085.2999999998</v>
      </c>
      <c r="V19" s="427">
        <v>2114869.2999999998</v>
      </c>
    </row>
    <row r="20" spans="20:22">
      <c r="T20" s="855">
        <f>+V21</f>
        <v>397999.99999999977</v>
      </c>
      <c r="U20" s="427">
        <v>2256604.6</v>
      </c>
      <c r="V20" s="427">
        <v>1716869.3</v>
      </c>
    </row>
    <row r="21" spans="20:22">
      <c r="U21" s="427">
        <f>+U19-U20</f>
        <v>24480.699999999721</v>
      </c>
      <c r="V21" s="427">
        <f>+V19-V20</f>
        <v>397999.99999999977</v>
      </c>
    </row>
    <row r="23" spans="20:22">
      <c r="T23" s="854" t="s">
        <v>1404</v>
      </c>
    </row>
    <row r="25" spans="20:22">
      <c r="T25" s="854" t="s">
        <v>1402</v>
      </c>
      <c r="U25" s="427">
        <v>8822308.8000000007</v>
      </c>
    </row>
    <row r="26" spans="20:22">
      <c r="U26" s="427">
        <v>19344250.800000001</v>
      </c>
    </row>
    <row r="27" spans="20:22">
      <c r="U27" s="427">
        <f>+U26-U25</f>
        <v>10521942</v>
      </c>
    </row>
    <row r="28" spans="20:22">
      <c r="T28" s="854" t="s">
        <v>1403</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R159"/>
  <sheetViews>
    <sheetView topLeftCell="B68" workbookViewId="0">
      <selection activeCell="B5" sqref="B5:C5"/>
    </sheetView>
  </sheetViews>
  <sheetFormatPr defaultColWidth="9.109375" defaultRowHeight="13.2"/>
  <cols>
    <col min="1" max="1" width="9.109375" style="213"/>
    <col min="2" max="2" width="19.109375" style="213" customWidth="1"/>
    <col min="3" max="3" width="25.5546875" style="214" customWidth="1"/>
    <col min="4" max="4" width="16.5546875" style="214" bestFit="1" customWidth="1"/>
    <col min="5" max="5" width="15.88671875" style="214" bestFit="1" customWidth="1"/>
    <col min="6" max="6" width="15" style="214" bestFit="1" customWidth="1"/>
    <col min="7" max="7" width="16" style="214" bestFit="1" customWidth="1"/>
    <col min="8" max="8" width="14.33203125" style="214" customWidth="1"/>
    <col min="9" max="9" width="16" style="214" bestFit="1" customWidth="1"/>
    <col min="10" max="10" width="15.88671875" style="214" bestFit="1" customWidth="1"/>
    <col min="11" max="11" width="16.109375" style="214" bestFit="1" customWidth="1"/>
    <col min="12" max="12" width="16" style="214" bestFit="1" customWidth="1"/>
    <col min="13" max="13" width="15.109375" style="214" bestFit="1" customWidth="1"/>
    <col min="14" max="14" width="15.109375" style="453" bestFit="1" customWidth="1"/>
    <col min="15" max="15" width="14.33203125" style="453" bestFit="1" customWidth="1"/>
    <col min="16" max="17" width="14.33203125" style="213" bestFit="1" customWidth="1"/>
    <col min="18" max="18" width="15.109375" style="213" bestFit="1" customWidth="1"/>
    <col min="19" max="16384" width="9.109375" style="213"/>
  </cols>
  <sheetData>
    <row r="1" spans="1:9">
      <c r="A1" s="995" t="s">
        <v>179</v>
      </c>
      <c r="B1" s="995"/>
      <c r="C1" s="995"/>
      <c r="D1" s="995"/>
      <c r="E1" s="995"/>
      <c r="F1" s="995"/>
      <c r="G1" s="995"/>
      <c r="H1" s="995"/>
      <c r="I1" s="995"/>
    </row>
    <row r="2" spans="1:9">
      <c r="A2" s="995"/>
      <c r="B2" s="995"/>
      <c r="C2" s="995"/>
      <c r="D2" s="995"/>
      <c r="E2" s="995"/>
      <c r="F2" s="995"/>
      <c r="G2" s="995"/>
      <c r="H2" s="995"/>
      <c r="I2" s="995"/>
    </row>
    <row r="3" spans="1:9">
      <c r="A3" s="996" t="str">
        <f>+nuur1!A3</f>
        <v>"ГОВЬ" ХК-ийн</v>
      </c>
      <c r="B3" s="996"/>
      <c r="C3" s="996"/>
      <c r="D3" s="996"/>
      <c r="E3" s="438"/>
      <c r="F3" s="438"/>
      <c r="G3" s="438"/>
      <c r="H3" s="438"/>
      <c r="I3" s="438"/>
    </row>
    <row r="4" spans="1:9" ht="13.8">
      <c r="A4" s="997"/>
      <c r="B4" s="997"/>
      <c r="C4" s="997"/>
      <c r="D4" s="997"/>
      <c r="E4" s="438"/>
      <c r="F4" s="438"/>
      <c r="G4" s="438"/>
      <c r="H4" s="439" t="str">
        <f>+nuur1!A7</f>
        <v>2022  оны  12  сарын 31 өдөр</v>
      </c>
      <c r="I4" s="438"/>
    </row>
    <row r="5" spans="1:9">
      <c r="A5" s="17"/>
      <c r="B5" s="17"/>
      <c r="C5" s="440"/>
      <c r="D5" s="440"/>
      <c r="E5" s="438"/>
      <c r="F5" s="438"/>
      <c r="G5" s="438"/>
      <c r="H5" s="438"/>
      <c r="I5" s="438"/>
    </row>
    <row r="6" spans="1:9">
      <c r="A6" s="18"/>
      <c r="B6" s="218" t="s">
        <v>180</v>
      </c>
      <c r="C6" s="232"/>
      <c r="D6" s="232"/>
      <c r="E6" s="232"/>
      <c r="F6" s="232"/>
      <c r="G6" s="232"/>
      <c r="H6" s="232"/>
      <c r="I6" s="232"/>
    </row>
    <row r="7" spans="1:9">
      <c r="A7" s="20"/>
      <c r="B7" s="64"/>
      <c r="C7" s="232"/>
      <c r="D7" s="232"/>
      <c r="E7" s="232"/>
      <c r="F7" s="232"/>
      <c r="G7" s="232"/>
      <c r="H7" s="232"/>
      <c r="I7" s="232"/>
    </row>
    <row r="8" spans="1:9">
      <c r="A8" s="20"/>
      <c r="B8" s="219" t="s">
        <v>181</v>
      </c>
      <c r="C8" s="998" t="s">
        <v>500</v>
      </c>
      <c r="D8" s="998"/>
      <c r="E8" s="998"/>
      <c r="F8" s="998"/>
      <c r="G8" s="998"/>
      <c r="H8" s="259"/>
      <c r="I8" s="259"/>
    </row>
    <row r="9" spans="1:9">
      <c r="A9" s="20"/>
      <c r="B9" s="219" t="s">
        <v>182</v>
      </c>
      <c r="C9" s="1001" t="s">
        <v>501</v>
      </c>
      <c r="D9" s="1001"/>
      <c r="E9" s="1001"/>
      <c r="F9" s="1001"/>
      <c r="G9" s="1001"/>
      <c r="H9" s="441"/>
      <c r="I9" s="441"/>
    </row>
    <row r="10" spans="1:9">
      <c r="A10" s="20"/>
      <c r="B10" s="219" t="s">
        <v>183</v>
      </c>
      <c r="C10" s="80"/>
      <c r="D10" s="80"/>
      <c r="E10" s="80"/>
      <c r="F10" s="80"/>
      <c r="G10" s="80"/>
      <c r="H10" s="441"/>
      <c r="I10" s="441"/>
    </row>
    <row r="11" spans="1:9">
      <c r="A11" s="20"/>
      <c r="B11" s="64"/>
      <c r="C11" s="232"/>
      <c r="D11" s="232"/>
      <c r="E11" s="232"/>
      <c r="F11" s="232"/>
      <c r="G11" s="232"/>
      <c r="H11" s="232"/>
      <c r="I11" s="232"/>
    </row>
    <row r="12" spans="1:9">
      <c r="A12" s="20"/>
      <c r="B12" s="218" t="s">
        <v>184</v>
      </c>
      <c r="C12" s="232"/>
      <c r="D12" s="232"/>
      <c r="E12" s="232"/>
      <c r="F12" s="232"/>
      <c r="G12" s="232"/>
      <c r="H12" s="232"/>
      <c r="I12" s="232"/>
    </row>
    <row r="13" spans="1:9">
      <c r="A13" s="20"/>
      <c r="B13" s="64"/>
      <c r="C13" s="232"/>
      <c r="D13" s="232"/>
      <c r="E13" s="232"/>
      <c r="F13" s="232"/>
      <c r="G13" s="232"/>
      <c r="H13" s="232"/>
      <c r="I13" s="232"/>
    </row>
    <row r="14" spans="1:9">
      <c r="A14" s="20"/>
      <c r="B14" s="219" t="s">
        <v>181</v>
      </c>
      <c r="C14" s="80"/>
      <c r="D14" s="80"/>
      <c r="E14" s="80"/>
      <c r="F14" s="80"/>
      <c r="G14" s="80"/>
      <c r="H14" s="259"/>
      <c r="I14" s="259"/>
    </row>
    <row r="15" spans="1:9">
      <c r="A15" s="20"/>
      <c r="B15" s="219" t="s">
        <v>182</v>
      </c>
      <c r="C15" s="80"/>
      <c r="D15" s="80"/>
      <c r="E15" s="80"/>
      <c r="F15" s="80"/>
      <c r="G15" s="80"/>
      <c r="H15" s="259"/>
      <c r="I15" s="259"/>
    </row>
    <row r="16" spans="1:9">
      <c r="A16" s="20"/>
      <c r="B16" s="219" t="s">
        <v>183</v>
      </c>
      <c r="C16" s="80"/>
      <c r="D16" s="80"/>
      <c r="E16" s="80"/>
      <c r="F16" s="80"/>
      <c r="G16" s="80"/>
      <c r="H16" s="259"/>
      <c r="I16" s="259"/>
    </row>
    <row r="17" spans="1:9">
      <c r="A17" s="20"/>
      <c r="B17" s="64"/>
      <c r="C17" s="232"/>
      <c r="D17" s="232"/>
      <c r="E17" s="232"/>
      <c r="F17" s="232"/>
      <c r="G17" s="232"/>
      <c r="H17" s="259"/>
      <c r="I17" s="259"/>
    </row>
    <row r="18" spans="1:9">
      <c r="A18" s="20"/>
      <c r="B18" s="218" t="s">
        <v>185</v>
      </c>
      <c r="C18" s="232"/>
      <c r="D18" s="232"/>
      <c r="E18" s="232"/>
      <c r="F18" s="232"/>
      <c r="G18" s="232"/>
      <c r="H18" s="259"/>
      <c r="I18" s="259"/>
    </row>
    <row r="19" spans="1:9">
      <c r="A19" s="20"/>
      <c r="B19" s="64"/>
      <c r="C19" s="232"/>
      <c r="D19" s="232"/>
      <c r="E19" s="232"/>
      <c r="F19" s="232"/>
      <c r="G19" s="232"/>
      <c r="H19" s="259"/>
      <c r="I19" s="259"/>
    </row>
    <row r="20" spans="1:9">
      <c r="A20" s="20"/>
      <c r="B20" s="219" t="s">
        <v>181</v>
      </c>
      <c r="C20" s="80"/>
      <c r="D20" s="80"/>
      <c r="E20" s="80"/>
      <c r="F20" s="80"/>
      <c r="G20" s="80"/>
      <c r="H20" s="259"/>
      <c r="I20" s="259"/>
    </row>
    <row r="21" spans="1:9">
      <c r="A21" s="20"/>
      <c r="B21" s="219" t="s">
        <v>182</v>
      </c>
      <c r="C21" s="80"/>
      <c r="D21" s="80"/>
      <c r="E21" s="80"/>
      <c r="F21" s="80"/>
      <c r="G21" s="80"/>
      <c r="H21" s="259"/>
      <c r="I21" s="259"/>
    </row>
    <row r="22" spans="1:9">
      <c r="A22" s="20"/>
      <c r="B22" s="219" t="s">
        <v>183</v>
      </c>
      <c r="C22" s="80"/>
      <c r="D22" s="80"/>
      <c r="E22" s="80"/>
      <c r="F22" s="80"/>
      <c r="G22" s="80"/>
      <c r="H22" s="259"/>
      <c r="I22" s="259"/>
    </row>
    <row r="23" spans="1:9">
      <c r="A23" s="20"/>
      <c r="B23" s="64"/>
      <c r="C23" s="232"/>
      <c r="D23" s="232"/>
      <c r="E23" s="232"/>
      <c r="F23" s="232"/>
      <c r="G23" s="232"/>
      <c r="H23" s="232"/>
      <c r="I23" s="232"/>
    </row>
    <row r="24" spans="1:9">
      <c r="A24" s="221" t="s">
        <v>186</v>
      </c>
      <c r="B24" s="222"/>
      <c r="C24" s="251"/>
      <c r="D24" s="251"/>
      <c r="E24" s="251"/>
      <c r="F24" s="251"/>
      <c r="G24" s="251"/>
      <c r="H24" s="251"/>
      <c r="I24" s="251"/>
    </row>
    <row r="25" spans="1:9">
      <c r="A25" s="999" t="s">
        <v>1038</v>
      </c>
      <c r="B25" s="999"/>
      <c r="C25" s="999"/>
      <c r="D25" s="999"/>
      <c r="E25" s="999"/>
      <c r="F25" s="999"/>
      <c r="G25" s="999"/>
      <c r="H25" s="999"/>
      <c r="I25" s="999"/>
    </row>
    <row r="26" spans="1:9">
      <c r="A26" s="999"/>
      <c r="B26" s="999"/>
      <c r="C26" s="999"/>
      <c r="D26" s="999"/>
      <c r="E26" s="999"/>
      <c r="F26" s="999"/>
      <c r="G26" s="999"/>
      <c r="H26" s="999"/>
      <c r="I26" s="999"/>
    </row>
    <row r="27" spans="1:9">
      <c r="A27" s="223"/>
      <c r="B27" s="224"/>
      <c r="C27" s="260"/>
      <c r="D27" s="260"/>
      <c r="E27" s="260"/>
      <c r="F27" s="260"/>
      <c r="G27" s="260"/>
      <c r="H27" s="260"/>
      <c r="I27" s="260"/>
    </row>
    <row r="28" spans="1:9">
      <c r="A28" s="224"/>
      <c r="B28" s="224"/>
      <c r="C28" s="260"/>
      <c r="D28" s="260"/>
      <c r="E28" s="260"/>
      <c r="F28" s="260"/>
      <c r="G28" s="260"/>
      <c r="H28" s="260"/>
      <c r="I28" s="260"/>
    </row>
    <row r="29" spans="1:9" hidden="1">
      <c r="A29" s="224"/>
      <c r="B29" s="224"/>
      <c r="C29" s="260"/>
      <c r="D29" s="260"/>
      <c r="E29" s="260"/>
      <c r="F29" s="260"/>
      <c r="G29" s="260"/>
      <c r="H29" s="260"/>
      <c r="I29" s="260"/>
    </row>
    <row r="30" spans="1:9" hidden="1">
      <c r="A30" s="224"/>
      <c r="B30" s="224"/>
      <c r="C30" s="260"/>
      <c r="D30" s="260"/>
      <c r="E30" s="260"/>
      <c r="F30" s="260"/>
      <c r="G30" s="260"/>
      <c r="H30" s="260"/>
      <c r="I30" s="260"/>
    </row>
    <row r="31" spans="1:9" hidden="1">
      <c r="A31" s="224"/>
      <c r="B31" s="224"/>
      <c r="C31" s="260"/>
      <c r="D31" s="260"/>
      <c r="E31" s="260"/>
      <c r="F31" s="260"/>
      <c r="G31" s="260"/>
      <c r="H31" s="260"/>
      <c r="I31" s="260"/>
    </row>
    <row r="32" spans="1:9" hidden="1">
      <c r="A32" s="224"/>
      <c r="B32" s="224"/>
      <c r="C32" s="260"/>
      <c r="D32" s="260"/>
      <c r="E32" s="260"/>
      <c r="F32" s="260"/>
      <c r="G32" s="260"/>
      <c r="H32" s="260"/>
      <c r="I32" s="260"/>
    </row>
    <row r="33" spans="1:9" hidden="1">
      <c r="A33" s="224"/>
      <c r="B33" s="224"/>
      <c r="C33" s="260"/>
      <c r="D33" s="260"/>
      <c r="E33" s="260"/>
      <c r="F33" s="260"/>
      <c r="G33" s="260"/>
      <c r="H33" s="260"/>
      <c r="I33" s="260"/>
    </row>
    <row r="34" spans="1:9" hidden="1">
      <c r="A34" s="224"/>
      <c r="B34" s="224"/>
      <c r="C34" s="260"/>
      <c r="D34" s="260"/>
      <c r="E34" s="260"/>
      <c r="F34" s="260"/>
      <c r="G34" s="260"/>
      <c r="H34" s="260"/>
      <c r="I34" s="260"/>
    </row>
    <row r="35" spans="1:9" hidden="1">
      <c r="A35" s="224"/>
      <c r="B35" s="224"/>
      <c r="C35" s="260"/>
      <c r="D35" s="260"/>
      <c r="E35" s="260"/>
      <c r="F35" s="260"/>
      <c r="G35" s="260"/>
      <c r="H35" s="260"/>
      <c r="I35" s="260"/>
    </row>
    <row r="36" spans="1:9" hidden="1">
      <c r="A36" s="224"/>
      <c r="B36" s="224"/>
      <c r="C36" s="260"/>
      <c r="D36" s="260"/>
      <c r="E36" s="260"/>
      <c r="F36" s="260"/>
      <c r="G36" s="260"/>
      <c r="H36" s="260"/>
      <c r="I36" s="260"/>
    </row>
    <row r="37" spans="1:9" hidden="1">
      <c r="A37" s="224"/>
      <c r="B37" s="224"/>
      <c r="C37" s="260"/>
      <c r="D37" s="260"/>
      <c r="E37" s="260"/>
      <c r="F37" s="260"/>
      <c r="G37" s="260"/>
      <c r="H37" s="260"/>
      <c r="I37" s="260"/>
    </row>
    <row r="38" spans="1:9" hidden="1">
      <c r="A38" s="224"/>
      <c r="B38" s="224"/>
      <c r="C38" s="260"/>
      <c r="D38" s="260"/>
      <c r="E38" s="260"/>
      <c r="F38" s="260"/>
      <c r="G38" s="260"/>
      <c r="H38" s="260"/>
      <c r="I38" s="260"/>
    </row>
    <row r="39" spans="1:9" hidden="1">
      <c r="A39" s="224"/>
      <c r="B39" s="224"/>
      <c r="C39" s="260"/>
      <c r="D39" s="260"/>
      <c r="E39" s="260"/>
      <c r="F39" s="260"/>
      <c r="G39" s="260"/>
      <c r="H39" s="260"/>
      <c r="I39" s="260"/>
    </row>
    <row r="40" spans="1:9" hidden="1">
      <c r="A40" s="224"/>
      <c r="B40" s="224"/>
      <c r="C40" s="260"/>
      <c r="D40" s="260"/>
      <c r="E40" s="260"/>
      <c r="F40" s="260"/>
      <c r="G40" s="260"/>
      <c r="H40" s="260"/>
      <c r="I40" s="260"/>
    </row>
    <row r="41" spans="1:9" hidden="1">
      <c r="A41" s="224"/>
      <c r="B41" s="224"/>
      <c r="C41" s="260"/>
      <c r="D41" s="260"/>
      <c r="E41" s="260"/>
      <c r="F41" s="260"/>
      <c r="G41" s="260"/>
      <c r="H41" s="260"/>
      <c r="I41" s="260"/>
    </row>
    <row r="42" spans="1:9" hidden="1">
      <c r="A42" s="224"/>
      <c r="B42" s="224"/>
      <c r="C42" s="260"/>
      <c r="D42" s="260"/>
      <c r="E42" s="260"/>
      <c r="F42" s="260"/>
      <c r="G42" s="260"/>
      <c r="H42" s="260"/>
      <c r="I42" s="260"/>
    </row>
    <row r="43" spans="1:9" hidden="1">
      <c r="A43" s="224"/>
      <c r="B43" s="224"/>
      <c r="C43" s="260"/>
      <c r="D43" s="260"/>
      <c r="E43" s="260"/>
      <c r="F43" s="260"/>
      <c r="G43" s="260"/>
      <c r="H43" s="260"/>
      <c r="I43" s="260"/>
    </row>
    <row r="44" spans="1:9" hidden="1">
      <c r="A44" s="224"/>
      <c r="B44" s="224"/>
      <c r="C44" s="260"/>
      <c r="D44" s="260"/>
      <c r="E44" s="260"/>
      <c r="F44" s="260"/>
      <c r="G44" s="260"/>
      <c r="H44" s="260"/>
      <c r="I44" s="260"/>
    </row>
    <row r="45" spans="1:9" hidden="1">
      <c r="A45" s="224"/>
      <c r="B45" s="224"/>
      <c r="C45" s="260"/>
      <c r="D45" s="260"/>
      <c r="E45" s="260"/>
      <c r="F45" s="260"/>
      <c r="G45" s="260"/>
      <c r="H45" s="260"/>
      <c r="I45" s="260"/>
    </row>
    <row r="46" spans="1:9">
      <c r="A46" s="225"/>
      <c r="B46" s="225"/>
      <c r="C46" s="442"/>
      <c r="D46" s="442"/>
      <c r="E46" s="442"/>
      <c r="F46" s="442"/>
      <c r="G46" s="442"/>
      <c r="H46" s="442"/>
      <c r="I46" s="442"/>
    </row>
    <row r="47" spans="1:9">
      <c r="A47" s="221" t="s">
        <v>189</v>
      </c>
      <c r="B47" s="222"/>
      <c r="C47" s="443"/>
      <c r="D47" s="443"/>
      <c r="E47" s="443"/>
      <c r="F47" s="443"/>
      <c r="G47" s="443"/>
      <c r="H47" s="443"/>
      <c r="I47" s="443"/>
    </row>
    <row r="48" spans="1:9">
      <c r="A48" s="1000" t="s">
        <v>190</v>
      </c>
      <c r="B48" s="1000"/>
      <c r="C48" s="260"/>
      <c r="D48" s="260"/>
      <c r="E48" s="260"/>
      <c r="F48" s="260"/>
      <c r="G48" s="260"/>
      <c r="H48" s="260"/>
      <c r="I48" s="260"/>
    </row>
    <row r="49" spans="1:9">
      <c r="A49" s="224"/>
      <c r="B49" s="224"/>
      <c r="C49" s="260"/>
      <c r="D49" s="260"/>
      <c r="E49" s="260"/>
      <c r="F49" s="260"/>
      <c r="G49" s="260"/>
      <c r="H49" s="260"/>
      <c r="I49" s="260"/>
    </row>
    <row r="50" spans="1:9">
      <c r="A50" s="224"/>
      <c r="B50" s="224"/>
      <c r="C50" s="260"/>
      <c r="D50" s="260"/>
      <c r="E50" s="260"/>
      <c r="F50" s="260"/>
      <c r="G50" s="260"/>
      <c r="H50" s="260"/>
      <c r="I50" s="260"/>
    </row>
    <row r="51" spans="1:9" hidden="1">
      <c r="A51" s="224"/>
      <c r="B51" s="224"/>
      <c r="C51" s="260"/>
      <c r="D51" s="260"/>
      <c r="E51" s="260"/>
      <c r="F51" s="260"/>
      <c r="G51" s="260"/>
      <c r="H51" s="260"/>
      <c r="I51" s="260"/>
    </row>
    <row r="52" spans="1:9" hidden="1">
      <c r="A52" s="224"/>
      <c r="B52" s="224"/>
      <c r="C52" s="260"/>
      <c r="D52" s="260"/>
      <c r="E52" s="260"/>
      <c r="F52" s="260"/>
      <c r="G52" s="260"/>
      <c r="H52" s="260"/>
      <c r="I52" s="260"/>
    </row>
    <row r="53" spans="1:9" hidden="1">
      <c r="A53" s="224"/>
      <c r="B53" s="224"/>
      <c r="C53" s="260"/>
      <c r="D53" s="260"/>
      <c r="E53" s="260"/>
      <c r="F53" s="260"/>
      <c r="G53" s="260"/>
      <c r="H53" s="260"/>
      <c r="I53" s="260"/>
    </row>
    <row r="54" spans="1:9" hidden="1">
      <c r="A54" s="224"/>
      <c r="B54" s="224"/>
      <c r="C54" s="260"/>
      <c r="D54" s="260"/>
      <c r="E54" s="260"/>
      <c r="F54" s="260"/>
      <c r="G54" s="260"/>
      <c r="H54" s="260"/>
      <c r="I54" s="260"/>
    </row>
    <row r="55" spans="1:9" hidden="1">
      <c r="A55" s="224"/>
      <c r="B55" s="224"/>
      <c r="C55" s="260"/>
      <c r="D55" s="260"/>
      <c r="E55" s="260"/>
      <c r="F55" s="260"/>
      <c r="G55" s="260"/>
      <c r="H55" s="260"/>
      <c r="I55" s="260"/>
    </row>
    <row r="56" spans="1:9" hidden="1">
      <c r="A56" s="224"/>
      <c r="B56" s="224"/>
      <c r="C56" s="260"/>
      <c r="D56" s="260"/>
      <c r="E56" s="260"/>
      <c r="F56" s="260"/>
      <c r="G56" s="260"/>
      <c r="H56" s="260"/>
      <c r="I56" s="260"/>
    </row>
    <row r="57" spans="1:9" hidden="1">
      <c r="A57" s="224"/>
      <c r="B57" s="224"/>
      <c r="C57" s="260"/>
      <c r="D57" s="260"/>
      <c r="E57" s="260"/>
      <c r="F57" s="260"/>
      <c r="G57" s="260"/>
      <c r="H57" s="260"/>
      <c r="I57" s="260"/>
    </row>
    <row r="58" spans="1:9" hidden="1">
      <c r="A58" s="224"/>
      <c r="B58" s="224"/>
      <c r="C58" s="260"/>
      <c r="D58" s="260"/>
      <c r="E58" s="260"/>
      <c r="F58" s="260"/>
      <c r="G58" s="260"/>
      <c r="H58" s="260"/>
      <c r="I58" s="260"/>
    </row>
    <row r="59" spans="1:9" hidden="1">
      <c r="A59" s="224"/>
      <c r="B59" s="224"/>
      <c r="C59" s="260"/>
      <c r="D59" s="260"/>
      <c r="E59" s="260"/>
      <c r="F59" s="260"/>
      <c r="G59" s="260"/>
      <c r="H59" s="260"/>
      <c r="I59" s="260"/>
    </row>
    <row r="60" spans="1:9" hidden="1">
      <c r="A60" s="224"/>
      <c r="B60" s="224"/>
      <c r="C60" s="260"/>
      <c r="D60" s="260"/>
      <c r="E60" s="260"/>
      <c r="F60" s="260"/>
      <c r="G60" s="260"/>
      <c r="H60" s="260"/>
      <c r="I60" s="260"/>
    </row>
    <row r="61" spans="1:9" hidden="1">
      <c r="A61" s="224"/>
      <c r="B61" s="224"/>
      <c r="C61" s="260"/>
      <c r="D61" s="260"/>
      <c r="E61" s="260"/>
      <c r="F61" s="260"/>
      <c r="G61" s="260"/>
      <c r="H61" s="260"/>
      <c r="I61" s="260"/>
    </row>
    <row r="62" spans="1:9" hidden="1">
      <c r="A62" s="224"/>
      <c r="B62" s="224"/>
      <c r="C62" s="260"/>
      <c r="D62" s="260"/>
      <c r="E62" s="260"/>
      <c r="F62" s="260"/>
      <c r="G62" s="260"/>
      <c r="H62" s="260"/>
      <c r="I62" s="260"/>
    </row>
    <row r="63" spans="1:9" hidden="1">
      <c r="A63" s="224"/>
      <c r="B63" s="224"/>
      <c r="C63" s="260"/>
      <c r="D63" s="260"/>
      <c r="E63" s="260"/>
      <c r="F63" s="260"/>
      <c r="G63" s="260"/>
      <c r="H63" s="260"/>
      <c r="I63" s="260"/>
    </row>
    <row r="64" spans="1:9" hidden="1">
      <c r="A64" s="224"/>
      <c r="B64" s="224"/>
      <c r="C64" s="260"/>
      <c r="D64" s="260"/>
      <c r="E64" s="260"/>
      <c r="F64" s="260"/>
      <c r="G64" s="260"/>
      <c r="H64" s="260"/>
      <c r="I64" s="260"/>
    </row>
    <row r="65" spans="1:12" hidden="1">
      <c r="A65" s="224"/>
      <c r="B65" s="224"/>
      <c r="C65" s="260"/>
      <c r="D65" s="260"/>
      <c r="E65" s="260"/>
      <c r="F65" s="260"/>
      <c r="G65" s="260"/>
      <c r="H65" s="260"/>
      <c r="I65" s="260"/>
    </row>
    <row r="66" spans="1:12" hidden="1">
      <c r="A66" s="224"/>
      <c r="B66" s="224"/>
      <c r="C66" s="260"/>
      <c r="D66" s="260"/>
      <c r="E66" s="260"/>
      <c r="F66" s="260"/>
      <c r="G66" s="260"/>
      <c r="H66" s="260"/>
      <c r="I66" s="260"/>
    </row>
    <row r="67" spans="1:12">
      <c r="A67" s="225"/>
      <c r="B67" s="225"/>
      <c r="C67" s="442"/>
      <c r="D67" s="442"/>
      <c r="E67" s="442"/>
      <c r="F67" s="442"/>
      <c r="G67" s="442"/>
      <c r="H67" s="442"/>
      <c r="I67" s="442"/>
    </row>
    <row r="68" spans="1:12">
      <c r="A68" s="226"/>
      <c r="B68" s="226"/>
      <c r="C68" s="258"/>
      <c r="D68" s="258"/>
      <c r="E68" s="258"/>
      <c r="F68" s="258"/>
      <c r="G68" s="258"/>
      <c r="H68" s="258"/>
      <c r="I68" s="258"/>
    </row>
    <row r="69" spans="1:12">
      <c r="A69" s="226"/>
      <c r="B69" s="226"/>
      <c r="C69" s="258"/>
      <c r="D69" s="258"/>
      <c r="E69" s="258"/>
      <c r="F69" s="258"/>
      <c r="G69" s="258"/>
      <c r="H69" s="258"/>
      <c r="I69" s="258"/>
    </row>
    <row r="70" spans="1:12">
      <c r="A70" s="221" t="s">
        <v>191</v>
      </c>
      <c r="B70" s="227"/>
      <c r="C70" s="444"/>
      <c r="D70" s="444"/>
      <c r="E70" s="444"/>
      <c r="F70" s="444"/>
      <c r="G70" s="444"/>
      <c r="H70" s="444"/>
      <c r="I70" s="444"/>
    </row>
    <row r="71" spans="1:12">
      <c r="A71" s="226"/>
      <c r="B71" s="226"/>
      <c r="C71" s="258"/>
      <c r="D71" s="258"/>
      <c r="E71" s="258"/>
      <c r="F71" s="258"/>
      <c r="G71" s="258"/>
      <c r="H71" s="258"/>
      <c r="I71" s="258"/>
    </row>
    <row r="72" spans="1:12">
      <c r="A72" s="20"/>
      <c r="B72" s="64"/>
      <c r="C72" s="232"/>
      <c r="D72" s="232"/>
      <c r="E72" s="232"/>
      <c r="F72" s="232"/>
      <c r="G72" s="232"/>
      <c r="H72" s="232"/>
      <c r="I72" s="232"/>
    </row>
    <row r="73" spans="1:12" ht="12.75" customHeight="1">
      <c r="A73" s="27" t="s">
        <v>192</v>
      </c>
      <c r="B73" s="985" t="s">
        <v>193</v>
      </c>
      <c r="C73" s="986"/>
      <c r="D73" s="986"/>
      <c r="E73" s="987"/>
      <c r="F73" s="988" t="s">
        <v>194</v>
      </c>
      <c r="G73" s="989"/>
      <c r="H73" s="988" t="s">
        <v>195</v>
      </c>
      <c r="I73" s="989"/>
    </row>
    <row r="74" spans="1:12">
      <c r="A74" s="29">
        <v>1</v>
      </c>
      <c r="B74" s="990" t="s">
        <v>196</v>
      </c>
      <c r="C74" s="991"/>
      <c r="D74" s="991"/>
      <c r="E74" s="992"/>
      <c r="F74" s="993">
        <v>112056081.63</v>
      </c>
      <c r="G74" s="994"/>
      <c r="H74" s="993">
        <f>+'BL mn'!N15</f>
        <v>276983698.50999999</v>
      </c>
      <c r="I74" s="994"/>
      <c r="J74" s="214">
        <f>+H74/1000</f>
        <v>276983.69851000002</v>
      </c>
    </row>
    <row r="75" spans="1:12">
      <c r="A75" s="29">
        <v>2</v>
      </c>
      <c r="B75" s="990" t="s">
        <v>197</v>
      </c>
      <c r="C75" s="991"/>
      <c r="D75" s="991"/>
      <c r="E75" s="992"/>
      <c r="F75" s="993">
        <v>17433222919.599998</v>
      </c>
      <c r="G75" s="994"/>
      <c r="H75" s="993">
        <f>+'BL mn'!N16</f>
        <v>4904029073.1300001</v>
      </c>
      <c r="I75" s="994"/>
      <c r="J75" s="214">
        <f t="shared" ref="J75:J77" si="0">+H75/1000</f>
        <v>4904029.0731300004</v>
      </c>
    </row>
    <row r="76" spans="1:12">
      <c r="A76" s="29">
        <v>3</v>
      </c>
      <c r="B76" s="990" t="s">
        <v>198</v>
      </c>
      <c r="C76" s="991"/>
      <c r="D76" s="991"/>
      <c r="E76" s="992"/>
      <c r="F76" s="993">
        <v>466069670.77000004</v>
      </c>
      <c r="G76" s="994"/>
      <c r="H76" s="993">
        <f>+'BL mn'!N17</f>
        <v>401663267</v>
      </c>
      <c r="I76" s="994"/>
      <c r="J76" s="214">
        <f t="shared" si="0"/>
        <v>401663.26699999999</v>
      </c>
    </row>
    <row r="77" spans="1:12">
      <c r="A77" s="1002" t="s">
        <v>199</v>
      </c>
      <c r="B77" s="1003"/>
      <c r="C77" s="1003"/>
      <c r="D77" s="1003"/>
      <c r="E77" s="1004"/>
      <c r="F77" s="1005">
        <v>18011348672</v>
      </c>
      <c r="G77" s="1006"/>
      <c r="H77" s="1005">
        <f>SUM(H74:H76)</f>
        <v>5582676038.6400003</v>
      </c>
      <c r="I77" s="1006"/>
      <c r="J77" s="214">
        <f t="shared" si="0"/>
        <v>5582676.0386399999</v>
      </c>
      <c r="K77" s="214">
        <f>+balance!D9</f>
        <v>9034919308.4724007</v>
      </c>
      <c r="L77" s="214">
        <f>+K77-H77</f>
        <v>3452243269.8324003</v>
      </c>
    </row>
    <row r="78" spans="1:12">
      <c r="A78" s="30"/>
      <c r="B78" s="31" t="s">
        <v>200</v>
      </c>
      <c r="C78" s="445" t="s">
        <v>201</v>
      </c>
      <c r="D78" s="445"/>
      <c r="E78" s="445"/>
      <c r="F78" s="445"/>
      <c r="G78" s="445"/>
      <c r="H78" s="445"/>
      <c r="I78" s="445"/>
    </row>
    <row r="79" spans="1:12">
      <c r="A79" s="230" t="s">
        <v>659</v>
      </c>
      <c r="B79" s="224"/>
      <c r="C79" s="260"/>
      <c r="D79" s="260"/>
      <c r="E79" s="260"/>
      <c r="F79" s="260"/>
      <c r="G79" s="260"/>
      <c r="H79" s="260"/>
      <c r="I79" s="260"/>
    </row>
    <row r="80" spans="1:12">
      <c r="A80" s="32"/>
      <c r="B80" s="33"/>
      <c r="C80" s="446"/>
      <c r="D80" s="446"/>
      <c r="E80" s="446"/>
      <c r="F80" s="424"/>
      <c r="G80" s="424"/>
      <c r="H80" s="424"/>
      <c r="I80" s="424"/>
    </row>
    <row r="81" spans="1:12">
      <c r="A81" s="221" t="s">
        <v>202</v>
      </c>
      <c r="B81" s="222"/>
      <c r="C81" s="251"/>
      <c r="D81" s="251"/>
      <c r="E81" s="251"/>
      <c r="F81" s="251"/>
      <c r="G81" s="251"/>
      <c r="H81" s="251"/>
      <c r="I81" s="251"/>
    </row>
    <row r="82" spans="1:12">
      <c r="A82" s="20"/>
      <c r="B82" s="64"/>
      <c r="C82" s="232"/>
      <c r="D82" s="232"/>
      <c r="E82" s="232"/>
      <c r="F82" s="232"/>
      <c r="G82" s="232"/>
      <c r="H82" s="232"/>
      <c r="I82" s="232"/>
    </row>
    <row r="83" spans="1:12" ht="13.8">
      <c r="A83" s="30"/>
      <c r="B83" s="413" t="s">
        <v>203</v>
      </c>
      <c r="C83" s="232"/>
      <c r="D83" s="232"/>
      <c r="E83" s="232"/>
      <c r="F83" s="232"/>
      <c r="G83" s="232"/>
      <c r="H83" s="232"/>
      <c r="I83" s="232"/>
    </row>
    <row r="84" spans="1:12">
      <c r="A84" s="20"/>
      <c r="B84" s="64"/>
      <c r="C84" s="232"/>
      <c r="D84" s="232"/>
      <c r="E84" s="232">
        <f>+D91-E92</f>
        <v>3.9920806884765625E-3</v>
      </c>
      <c r="F84" s="232"/>
      <c r="G84" s="232"/>
      <c r="H84" s="232"/>
      <c r="I84" s="232"/>
    </row>
    <row r="85" spans="1:12" ht="12.75" customHeight="1">
      <c r="A85" s="35" t="s">
        <v>192</v>
      </c>
      <c r="B85" s="1002" t="s">
        <v>5</v>
      </c>
      <c r="C85" s="1004"/>
      <c r="D85" s="1007" t="s">
        <v>9</v>
      </c>
      <c r="E85" s="1007"/>
      <c r="F85" s="1008" t="s">
        <v>204</v>
      </c>
      <c r="G85" s="1008"/>
      <c r="H85" s="1008" t="s">
        <v>205</v>
      </c>
      <c r="I85" s="1008"/>
    </row>
    <row r="86" spans="1:12">
      <c r="A86" s="29">
        <v>1</v>
      </c>
      <c r="B86" s="1012" t="s">
        <v>194</v>
      </c>
      <c r="C86" s="1013"/>
      <c r="D86" s="1005">
        <f>+K86</f>
        <v>6566668773.8499994</v>
      </c>
      <c r="E86" s="1006"/>
      <c r="F86" s="1005">
        <v>-1426163659.05</v>
      </c>
      <c r="G86" s="1006"/>
      <c r="H86" s="1005">
        <v>9997356686.4500122</v>
      </c>
      <c r="I86" s="1006"/>
      <c r="K86" s="214">
        <v>6566668773.8499994</v>
      </c>
    </row>
    <row r="87" spans="1:12">
      <c r="A87" s="82">
        <v>2</v>
      </c>
      <c r="B87" s="1009" t="s">
        <v>206</v>
      </c>
      <c r="C87" s="1010"/>
      <c r="D87" s="1011">
        <f>+L87</f>
        <v>143830487305.164</v>
      </c>
      <c r="E87" s="1011"/>
      <c r="F87" s="1011"/>
      <c r="G87" s="1011"/>
      <c r="H87" s="1011">
        <f t="shared" ref="H87:H90" si="1">+D87+F87</f>
        <v>143830487305.164</v>
      </c>
      <c r="I87" s="1011"/>
      <c r="K87" s="214">
        <v>130754988459.23999</v>
      </c>
      <c r="L87" s="214">
        <f>+K87*1.1</f>
        <v>143830487305.164</v>
      </c>
    </row>
    <row r="88" spans="1:12">
      <c r="A88" s="82">
        <v>3</v>
      </c>
      <c r="B88" s="1009" t="s">
        <v>207</v>
      </c>
      <c r="C88" s="1010"/>
      <c r="D88" s="1011">
        <v>138311337620.64001</v>
      </c>
      <c r="E88" s="1011"/>
      <c r="F88" s="1011">
        <f>1386533134.81+F86</f>
        <v>-39630524.24000001</v>
      </c>
      <c r="G88" s="1011"/>
      <c r="H88" s="1011">
        <f t="shared" si="1"/>
        <v>138271707096.40002</v>
      </c>
      <c r="I88" s="1011"/>
    </row>
    <row r="89" spans="1:12">
      <c r="A89" s="82">
        <v>4</v>
      </c>
      <c r="B89" s="1009" t="s">
        <v>208</v>
      </c>
      <c r="C89" s="1010"/>
      <c r="D89" s="1011"/>
      <c r="E89" s="1011"/>
      <c r="F89" s="1011">
        <v>0</v>
      </c>
      <c r="G89" s="1011"/>
      <c r="H89" s="1011">
        <f t="shared" si="1"/>
        <v>0</v>
      </c>
      <c r="I89" s="1011"/>
    </row>
    <row r="90" spans="1:12">
      <c r="A90" s="82">
        <v>5</v>
      </c>
      <c r="B90" s="1009" t="s">
        <v>209</v>
      </c>
      <c r="C90" s="1010"/>
      <c r="D90" s="993"/>
      <c r="E90" s="994"/>
      <c r="F90" s="1011">
        <v>0</v>
      </c>
      <c r="G90" s="1011"/>
      <c r="H90" s="1011">
        <f t="shared" si="1"/>
        <v>0</v>
      </c>
      <c r="I90" s="1011"/>
    </row>
    <row r="91" spans="1:12">
      <c r="A91" s="1015" t="s">
        <v>195</v>
      </c>
      <c r="B91" s="1016"/>
      <c r="C91" s="1017"/>
      <c r="D91" s="1005">
        <f>+D86+D87-D88</f>
        <v>12085818458.373993</v>
      </c>
      <c r="E91" s="1006"/>
      <c r="F91" s="1005">
        <f>+F86+F87-F88</f>
        <v>-1386533134.8099999</v>
      </c>
      <c r="G91" s="1006"/>
      <c r="H91" s="1005">
        <f>+H86+H87-H88</f>
        <v>15556136895.213989</v>
      </c>
      <c r="I91" s="1006"/>
      <c r="J91" s="214">
        <f>+balance!D10+balance!D12</f>
        <v>1924834227.5708008</v>
      </c>
      <c r="K91" s="214">
        <f>+H91+H100+H111+G159</f>
        <v>26474746258.00399</v>
      </c>
    </row>
    <row r="92" spans="1:12">
      <c r="A92" s="83"/>
      <c r="B92" s="232"/>
      <c r="C92" s="232"/>
      <c r="D92" s="232"/>
      <c r="E92" s="447">
        <f>+'BL mn'!N20</f>
        <v>12085818458.370001</v>
      </c>
      <c r="F92" s="232"/>
      <c r="G92" s="232"/>
      <c r="H92" s="1018"/>
      <c r="I92" s="1018"/>
      <c r="J92" s="214">
        <f>+H91+H111-J91</f>
        <v>22157386491.22319</v>
      </c>
      <c r="K92" s="214">
        <f>+balance!D10+balance!D11+balance!D12+balance!D15</f>
        <v>5637480773.3760147</v>
      </c>
    </row>
    <row r="93" spans="1:12" ht="13.8">
      <c r="A93" s="84"/>
      <c r="B93" s="234" t="s">
        <v>210</v>
      </c>
      <c r="C93" s="235"/>
      <c r="D93" s="235"/>
      <c r="E93" s="235"/>
      <c r="F93" s="235"/>
      <c r="G93" s="232"/>
      <c r="H93" s="232"/>
      <c r="I93" s="232"/>
      <c r="K93" s="214">
        <f>+K91-K92</f>
        <v>20837265484.627975</v>
      </c>
    </row>
    <row r="94" spans="1:12">
      <c r="A94" s="83"/>
      <c r="B94" s="232"/>
      <c r="C94" s="232"/>
      <c r="D94" s="232"/>
      <c r="E94" s="232"/>
      <c r="F94" s="232"/>
      <c r="G94" s="232"/>
      <c r="H94" s="232"/>
      <c r="I94" s="232"/>
    </row>
    <row r="95" spans="1:12">
      <c r="A95" s="76" t="s">
        <v>192</v>
      </c>
      <c r="B95" s="1007" t="s">
        <v>193</v>
      </c>
      <c r="C95" s="1007"/>
      <c r="D95" s="1007"/>
      <c r="E95" s="1007"/>
      <c r="F95" s="1007" t="s">
        <v>194</v>
      </c>
      <c r="G95" s="1007"/>
      <c r="H95" s="1007" t="s">
        <v>195</v>
      </c>
      <c r="I95" s="1007"/>
    </row>
    <row r="96" spans="1:12">
      <c r="A96" s="82">
        <v>1</v>
      </c>
      <c r="B96" s="1014" t="s">
        <v>211</v>
      </c>
      <c r="C96" s="1014"/>
      <c r="D96" s="1014"/>
      <c r="E96" s="1014"/>
      <c r="F96" s="1011"/>
      <c r="G96" s="1011"/>
      <c r="H96" s="1011"/>
      <c r="I96" s="1011"/>
    </row>
    <row r="97" spans="1:11">
      <c r="A97" s="82">
        <v>2</v>
      </c>
      <c r="B97" s="1014" t="s">
        <v>212</v>
      </c>
      <c r="C97" s="1014"/>
      <c r="D97" s="1014"/>
      <c r="E97" s="1014"/>
      <c r="F97" s="1011">
        <f>+'BL mn'!AB58</f>
        <v>0</v>
      </c>
      <c r="G97" s="1011"/>
      <c r="H97" s="1011"/>
      <c r="I97" s="1011"/>
    </row>
    <row r="98" spans="1:11">
      <c r="A98" s="82">
        <v>3</v>
      </c>
      <c r="B98" s="1014" t="s">
        <v>660</v>
      </c>
      <c r="C98" s="1014"/>
      <c r="D98" s="1014"/>
      <c r="E98" s="1014"/>
      <c r="F98" s="1011"/>
      <c r="G98" s="1011"/>
      <c r="H98" s="1011">
        <f>+'BL mn'!N59</f>
        <v>0</v>
      </c>
      <c r="I98" s="1011"/>
    </row>
    <row r="99" spans="1:11">
      <c r="A99" s="82">
        <v>4</v>
      </c>
      <c r="B99" s="1014" t="s">
        <v>213</v>
      </c>
      <c r="C99" s="1014"/>
      <c r="D99" s="1014"/>
      <c r="E99" s="1014"/>
      <c r="F99" s="1011">
        <f>+'BL mn'!AB60</f>
        <v>15050017.93</v>
      </c>
      <c r="G99" s="1011"/>
      <c r="H99" s="1011">
        <f>+'BL mn'!N60</f>
        <v>18094829.75</v>
      </c>
      <c r="I99" s="1011"/>
    </row>
    <row r="100" spans="1:11">
      <c r="A100" s="1015" t="s">
        <v>199</v>
      </c>
      <c r="B100" s="1016"/>
      <c r="C100" s="1016"/>
      <c r="D100" s="1016"/>
      <c r="E100" s="1017"/>
      <c r="F100" s="1019">
        <f>+F99+F97</f>
        <v>15050017.93</v>
      </c>
      <c r="G100" s="1019"/>
      <c r="H100" s="1019">
        <f>SUM(H97:H99)</f>
        <v>18094829.75</v>
      </c>
      <c r="I100" s="1019"/>
      <c r="J100" s="214">
        <f>+balance!D11</f>
        <v>1394151826.9299998</v>
      </c>
      <c r="K100" s="214">
        <f>+J100-H100</f>
        <v>1376056997.1799998</v>
      </c>
    </row>
    <row r="101" spans="1:11">
      <c r="A101" s="20"/>
      <c r="B101" s="64"/>
      <c r="C101" s="232"/>
      <c r="D101" s="232"/>
      <c r="E101" s="232"/>
      <c r="F101" s="232"/>
      <c r="G101" s="232"/>
      <c r="H101" s="232"/>
      <c r="I101" s="232"/>
    </row>
    <row r="102" spans="1:11" ht="13.8">
      <c r="A102" s="30"/>
      <c r="B102" s="414" t="s">
        <v>214</v>
      </c>
      <c r="C102" s="448"/>
      <c r="D102" s="448"/>
      <c r="E102" s="235"/>
      <c r="F102" s="235"/>
      <c r="G102" s="232"/>
      <c r="H102" s="232"/>
      <c r="I102" s="232"/>
    </row>
    <row r="103" spans="1:11">
      <c r="A103" s="20"/>
      <c r="B103" s="64"/>
      <c r="C103" s="232"/>
      <c r="D103" s="232"/>
      <c r="E103" s="232"/>
      <c r="F103" s="232"/>
      <c r="G103" s="232"/>
      <c r="H103" s="232"/>
      <c r="I103" s="232"/>
    </row>
    <row r="104" spans="1:11">
      <c r="A104" s="35" t="s">
        <v>192</v>
      </c>
      <c r="B104" s="1002" t="s">
        <v>215</v>
      </c>
      <c r="C104" s="1003"/>
      <c r="D104" s="1003"/>
      <c r="E104" s="1004"/>
      <c r="F104" s="1015" t="s">
        <v>194</v>
      </c>
      <c r="G104" s="1017"/>
      <c r="H104" s="1015" t="s">
        <v>195</v>
      </c>
      <c r="I104" s="1017"/>
    </row>
    <row r="105" spans="1:11">
      <c r="A105" s="29">
        <v>1</v>
      </c>
      <c r="B105" s="1020" t="s">
        <v>216</v>
      </c>
      <c r="C105" s="1021"/>
      <c r="D105" s="1021"/>
      <c r="E105" s="1022"/>
      <c r="F105" s="993">
        <v>14002009900</v>
      </c>
      <c r="G105" s="994"/>
      <c r="H105" s="993">
        <f>+'BL mn'!N26</f>
        <v>8409091</v>
      </c>
      <c r="I105" s="994"/>
    </row>
    <row r="106" spans="1:11">
      <c r="A106" s="29">
        <v>2</v>
      </c>
      <c r="B106" s="990" t="s">
        <v>217</v>
      </c>
      <c r="C106" s="991"/>
      <c r="D106" s="991"/>
      <c r="E106" s="992"/>
      <c r="F106" s="993"/>
      <c r="G106" s="994"/>
      <c r="H106" s="993"/>
      <c r="I106" s="994"/>
    </row>
    <row r="107" spans="1:11">
      <c r="A107" s="29">
        <v>3</v>
      </c>
      <c r="B107" s="990" t="s">
        <v>218</v>
      </c>
      <c r="C107" s="991"/>
      <c r="D107" s="991"/>
      <c r="E107" s="992"/>
      <c r="F107" s="1009"/>
      <c r="G107" s="1010"/>
      <c r="H107" s="1009"/>
      <c r="I107" s="1010"/>
    </row>
    <row r="108" spans="1:11">
      <c r="A108" s="29">
        <v>4</v>
      </c>
      <c r="B108" s="990" t="s">
        <v>219</v>
      </c>
      <c r="C108" s="991"/>
      <c r="D108" s="991"/>
      <c r="E108" s="992"/>
      <c r="F108" s="1009"/>
      <c r="G108" s="1010"/>
      <c r="H108" s="1009"/>
      <c r="I108" s="1010"/>
    </row>
    <row r="109" spans="1:11">
      <c r="A109" s="29">
        <v>5</v>
      </c>
      <c r="B109" s="990" t="s">
        <v>10</v>
      </c>
      <c r="C109" s="991"/>
      <c r="D109" s="991"/>
      <c r="E109" s="992"/>
      <c r="F109" s="1009">
        <f>+'BL mn'!AB23+'BL mn'!AB25+16963991.95</f>
        <v>379956600.00000089</v>
      </c>
      <c r="G109" s="1010"/>
      <c r="H109" s="1009">
        <f>+'BL mn'!N25+'BL mn'!N23+'BL mn'!N50</f>
        <v>586304524.33999991</v>
      </c>
      <c r="I109" s="1010"/>
    </row>
    <row r="110" spans="1:11">
      <c r="A110" s="29">
        <v>6</v>
      </c>
      <c r="B110" s="990" t="s">
        <v>220</v>
      </c>
      <c r="C110" s="991"/>
      <c r="D110" s="991"/>
      <c r="E110" s="992"/>
      <c r="F110" s="1009">
        <f>+'BL mn'!AB32</f>
        <v>2292855623.6899996</v>
      </c>
      <c r="G110" s="1010"/>
      <c r="H110" s="1009">
        <f>+'BL mn'!N32</f>
        <v>7931370208.2399998</v>
      </c>
      <c r="I110" s="1010"/>
    </row>
    <row r="111" spans="1:11">
      <c r="A111" s="1002" t="s">
        <v>221</v>
      </c>
      <c r="B111" s="1003"/>
      <c r="C111" s="1003"/>
      <c r="D111" s="1003"/>
      <c r="E111" s="1004"/>
      <c r="F111" s="1005">
        <f>SUM(F105:G110)</f>
        <v>16674822123.689999</v>
      </c>
      <c r="G111" s="1006"/>
      <c r="H111" s="1005">
        <f>SUM(H105:I110)</f>
        <v>8526083823.5799999</v>
      </c>
      <c r="I111" s="1006"/>
    </row>
    <row r="112" spans="1:11">
      <c r="A112" s="20"/>
      <c r="B112" s="18"/>
      <c r="C112" s="423"/>
      <c r="D112" s="423"/>
      <c r="E112" s="423"/>
      <c r="F112" s="81"/>
      <c r="G112" s="81"/>
      <c r="H112" s="81"/>
      <c r="I112" s="81"/>
    </row>
    <row r="113" spans="1:18">
      <c r="A113" s="1023" t="s">
        <v>222</v>
      </c>
      <c r="B113" s="1023"/>
      <c r="C113" s="1023"/>
      <c r="D113" s="1023"/>
      <c r="E113" s="1023"/>
      <c r="F113" s="1023"/>
      <c r="G113" s="1023"/>
      <c r="H113" s="1023"/>
      <c r="I113" s="1023"/>
    </row>
    <row r="114" spans="1:18">
      <c r="A114" s="1023"/>
      <c r="B114" s="1023"/>
      <c r="C114" s="1023"/>
      <c r="D114" s="1023"/>
      <c r="E114" s="1023"/>
      <c r="F114" s="1023"/>
      <c r="G114" s="1023"/>
      <c r="H114" s="1023"/>
      <c r="I114" s="1023"/>
    </row>
    <row r="115" spans="1:18">
      <c r="A115" s="1023"/>
      <c r="B115" s="1023"/>
      <c r="C115" s="1023"/>
      <c r="D115" s="1023"/>
      <c r="E115" s="1023"/>
      <c r="F115" s="1023"/>
      <c r="G115" s="1023"/>
      <c r="H115" s="1023"/>
      <c r="I115" s="1023"/>
    </row>
    <row r="116" spans="1:18">
      <c r="A116" s="1024"/>
      <c r="B116" s="1024"/>
      <c r="C116" s="1024"/>
      <c r="D116" s="1024"/>
      <c r="E116" s="1024"/>
      <c r="F116" s="1024"/>
      <c r="G116" s="1024"/>
      <c r="H116" s="1024"/>
      <c r="I116" s="1024"/>
    </row>
    <row r="117" spans="1:18">
      <c r="A117" s="238"/>
      <c r="B117" s="238"/>
      <c r="C117" s="449"/>
      <c r="D117" s="449"/>
      <c r="E117" s="449"/>
      <c r="F117" s="449"/>
      <c r="G117" s="449"/>
      <c r="H117" s="449"/>
      <c r="I117" s="449"/>
    </row>
    <row r="118" spans="1:18">
      <c r="A118" s="239" t="s">
        <v>223</v>
      </c>
      <c r="B118" s="240"/>
      <c r="C118" s="450"/>
      <c r="D118" s="450"/>
      <c r="E118" s="450"/>
      <c r="F118" s="450"/>
      <c r="G118" s="450"/>
      <c r="H118" s="450"/>
      <c r="I118" s="450"/>
    </row>
    <row r="119" spans="1:18">
      <c r="A119" s="42"/>
      <c r="B119" s="42"/>
      <c r="C119" s="261"/>
      <c r="D119" s="261"/>
      <c r="E119" s="261"/>
      <c r="F119" s="261"/>
      <c r="G119" s="261"/>
      <c r="H119" s="261"/>
      <c r="I119" s="261"/>
    </row>
    <row r="120" spans="1:18">
      <c r="A120" s="36" t="s">
        <v>79</v>
      </c>
      <c r="B120" s="1002" t="s">
        <v>193</v>
      </c>
      <c r="C120" s="1003"/>
      <c r="D120" s="1003"/>
      <c r="E120" s="1004"/>
      <c r="F120" s="1015" t="s">
        <v>194</v>
      </c>
      <c r="G120" s="1017"/>
      <c r="H120" s="1015" t="s">
        <v>195</v>
      </c>
      <c r="I120" s="1017"/>
    </row>
    <row r="121" spans="1:18">
      <c r="A121" s="44">
        <v>1</v>
      </c>
      <c r="B121" s="1002"/>
      <c r="C121" s="1003"/>
      <c r="D121" s="1003"/>
      <c r="E121" s="1004"/>
      <c r="F121" s="993">
        <v>0</v>
      </c>
      <c r="G121" s="994"/>
      <c r="H121" s="993">
        <v>0</v>
      </c>
      <c r="I121" s="994"/>
    </row>
    <row r="122" spans="1:18">
      <c r="A122" s="44">
        <v>2</v>
      </c>
      <c r="B122" s="1002"/>
      <c r="C122" s="1003"/>
      <c r="D122" s="1003"/>
      <c r="E122" s="1004"/>
      <c r="F122" s="993">
        <v>0</v>
      </c>
      <c r="G122" s="994"/>
      <c r="H122" s="993">
        <v>0</v>
      </c>
      <c r="I122" s="994"/>
    </row>
    <row r="123" spans="1:18">
      <c r="A123" s="1002" t="s">
        <v>82</v>
      </c>
      <c r="B123" s="1003"/>
      <c r="C123" s="1003"/>
      <c r="D123" s="1003"/>
      <c r="E123" s="1004"/>
      <c r="F123" s="1005">
        <f>SUM(F121:G122)</f>
        <v>0</v>
      </c>
      <c r="G123" s="1006"/>
      <c r="H123" s="1005">
        <f>SUM(H121:I122)</f>
        <v>0</v>
      </c>
      <c r="I123" s="1006"/>
    </row>
    <row r="124" spans="1:18">
      <c r="A124" s="20"/>
      <c r="B124" s="64"/>
      <c r="C124" s="232"/>
      <c r="D124" s="232"/>
      <c r="E124" s="232"/>
      <c r="F124" s="232"/>
      <c r="G124" s="232"/>
      <c r="H124" s="232"/>
      <c r="I124" s="232"/>
    </row>
    <row r="125" spans="1:18">
      <c r="A125" s="221" t="s">
        <v>224</v>
      </c>
      <c r="B125" s="222"/>
      <c r="C125" s="251"/>
      <c r="D125" s="251"/>
      <c r="E125" s="251"/>
      <c r="F125" s="251"/>
      <c r="G125" s="251"/>
      <c r="H125" s="251"/>
      <c r="I125" s="251"/>
    </row>
    <row r="126" spans="1:18" s="333" customFormat="1" ht="10.199999999999999">
      <c r="A126" s="332"/>
      <c r="B126" s="332"/>
      <c r="C126" s="335">
        <f t="shared" ref="C126:F126" si="2">+C137-C138</f>
        <v>7.2479248046875E-4</v>
      </c>
      <c r="D126" s="335">
        <f t="shared" si="2"/>
        <v>4.993438720703125E-3</v>
      </c>
      <c r="E126" s="335">
        <f t="shared" si="2"/>
        <v>0</v>
      </c>
      <c r="F126" s="335">
        <f t="shared" si="2"/>
        <v>0</v>
      </c>
      <c r="G126" s="335">
        <f>+G137-G138</f>
        <v>0</v>
      </c>
      <c r="H126" s="335">
        <f t="shared" ref="H126:I126" si="3">+H137-H138</f>
        <v>0</v>
      </c>
      <c r="I126" s="335">
        <f t="shared" si="3"/>
        <v>-4.2724609375E-3</v>
      </c>
      <c r="J126" s="334"/>
      <c r="K126" s="334"/>
      <c r="L126" s="334"/>
      <c r="M126" s="334"/>
      <c r="N126" s="454"/>
      <c r="O126" s="454"/>
    </row>
    <row r="127" spans="1:18">
      <c r="A127" s="1031" t="s">
        <v>79</v>
      </c>
      <c r="B127" s="1031" t="s">
        <v>5</v>
      </c>
      <c r="C127" s="1015" t="s">
        <v>225</v>
      </c>
      <c r="D127" s="1016"/>
      <c r="E127" s="1016"/>
      <c r="F127" s="1016"/>
      <c r="G127" s="1016"/>
      <c r="H127" s="1017"/>
      <c r="I127" s="1033" t="s">
        <v>82</v>
      </c>
      <c r="N127" s="214">
        <f>+N128-N129</f>
        <v>-124453120.87999725</v>
      </c>
      <c r="O127" s="214">
        <f>+O128-O129</f>
        <v>459104798.47000027</v>
      </c>
      <c r="P127" s="214">
        <f>+P128-P129</f>
        <v>-334651498.42999935</v>
      </c>
      <c r="Q127" s="214"/>
      <c r="R127" s="214">
        <f>SUM(L127:Q127)</f>
        <v>179.16000366210938</v>
      </c>
    </row>
    <row r="128" spans="1:18" ht="26.4">
      <c r="A128" s="1032"/>
      <c r="B128" s="1032"/>
      <c r="C128" s="77" t="s">
        <v>226</v>
      </c>
      <c r="D128" s="77" t="s">
        <v>227</v>
      </c>
      <c r="E128" s="77" t="s">
        <v>228</v>
      </c>
      <c r="F128" s="77" t="s">
        <v>229</v>
      </c>
      <c r="G128" s="77" t="s">
        <v>230</v>
      </c>
      <c r="H128" s="431" t="s">
        <v>231</v>
      </c>
      <c r="I128" s="1034"/>
      <c r="L128" s="214">
        <f>+L129</f>
        <v>24892141994.389999</v>
      </c>
      <c r="M128" s="214">
        <f>+M129</f>
        <v>10131853460.590002</v>
      </c>
      <c r="N128" s="214">
        <v>17921326000</v>
      </c>
      <c r="O128" s="214">
        <v>2319392100</v>
      </c>
      <c r="P128" s="214">
        <v>2708151000</v>
      </c>
      <c r="Q128" s="214"/>
      <c r="R128" s="214">
        <f t="shared" ref="R128:R130" si="4">SUM(L128:Q128)</f>
        <v>57972864554.980003</v>
      </c>
    </row>
    <row r="129" spans="1:18" ht="38.25" customHeight="1">
      <c r="A129" s="29">
        <v>1</v>
      </c>
      <c r="B129" s="241" t="s">
        <v>232</v>
      </c>
      <c r="C129" s="249">
        <v>24892141994.389999</v>
      </c>
      <c r="D129" s="249">
        <v>10131853460.590002</v>
      </c>
      <c r="E129" s="249">
        <f>18045779120.88-124453120.88</f>
        <v>17921326000</v>
      </c>
      <c r="F129" s="249">
        <f>1860287301.53+459104798.47</f>
        <v>2319392100</v>
      </c>
      <c r="G129" s="249">
        <f>3042802498.43-334651498.43-154.98</f>
        <v>2708150845.02</v>
      </c>
      <c r="H129" s="451"/>
      <c r="I129" s="249">
        <f>SUM(C129:H129)</f>
        <v>57972864400</v>
      </c>
      <c r="J129" s="214">
        <f>+I129-balance!C14</f>
        <v>-80057507693.228027</v>
      </c>
      <c r="L129" s="214">
        <v>24892141994.389999</v>
      </c>
      <c r="M129" s="214">
        <v>10131853460.590002</v>
      </c>
      <c r="N129" s="214">
        <v>18045779120.879997</v>
      </c>
      <c r="O129" s="214">
        <v>1860287301.5299997</v>
      </c>
      <c r="P129" s="214">
        <v>3042802498.4299994</v>
      </c>
      <c r="Q129" s="214"/>
      <c r="R129" s="214">
        <f t="shared" si="4"/>
        <v>57972864375.82</v>
      </c>
    </row>
    <row r="130" spans="1:18">
      <c r="A130" s="29">
        <v>2</v>
      </c>
      <c r="B130" s="58" t="s">
        <v>233</v>
      </c>
      <c r="C130" s="249">
        <v>63817678637.260002</v>
      </c>
      <c r="D130" s="82">
        <f>16681817208.41+0+13956201026.9</f>
        <v>30638018235.309998</v>
      </c>
      <c r="E130" s="249">
        <v>77821389193.050018</v>
      </c>
      <c r="F130" s="82">
        <v>3412883748.6399994</v>
      </c>
      <c r="G130" s="82">
        <v>5752240586.5599995</v>
      </c>
      <c r="H130" s="451">
        <f>+'BL mn'!N41</f>
        <v>1133973505.99</v>
      </c>
      <c r="I130" s="249">
        <f t="shared" ref="I130:I133" si="5">SUM(C130:H130)</f>
        <v>182576183906.81</v>
      </c>
      <c r="R130" s="214">
        <f t="shared" si="4"/>
        <v>0</v>
      </c>
    </row>
    <row r="131" spans="1:18">
      <c r="A131" s="29">
        <v>3</v>
      </c>
      <c r="B131" s="58" t="s">
        <v>234</v>
      </c>
      <c r="C131" s="249">
        <v>46711002477.779999</v>
      </c>
      <c r="D131" s="82">
        <v>19350341229.740002</v>
      </c>
      <c r="E131" s="249">
        <f>70523034719.21+E133</f>
        <v>70635091715.300003</v>
      </c>
      <c r="F131" s="82">
        <f>1956394243.32+F133</f>
        <v>2105906464.3599999</v>
      </c>
      <c r="G131" s="82">
        <f>2004408484.33+G133+0.01</f>
        <v>2479142422.46</v>
      </c>
      <c r="H131" s="451"/>
      <c r="I131" s="249">
        <f t="shared" si="5"/>
        <v>141281484309.63998</v>
      </c>
    </row>
    <row r="132" spans="1:18" ht="26.4">
      <c r="A132" s="29">
        <v>4</v>
      </c>
      <c r="B132" s="241" t="s">
        <v>235</v>
      </c>
      <c r="C132" s="249">
        <f>+C129+C130-C131</f>
        <v>41998818153.869995</v>
      </c>
      <c r="D132" s="249">
        <f t="shared" ref="D132:H132" si="6">+D129+D130-D131</f>
        <v>21419530466.16</v>
      </c>
      <c r="E132" s="249">
        <f t="shared" si="6"/>
        <v>25107623477.750015</v>
      </c>
      <c r="F132" s="249">
        <f t="shared" si="6"/>
        <v>3626369384.2799997</v>
      </c>
      <c r="G132" s="249">
        <f t="shared" si="6"/>
        <v>5981249009.1199999</v>
      </c>
      <c r="H132" s="249">
        <f t="shared" si="6"/>
        <v>1133973505.99</v>
      </c>
      <c r="I132" s="249">
        <f t="shared" si="5"/>
        <v>99267563997.170013</v>
      </c>
    </row>
    <row r="133" spans="1:18" ht="26.4">
      <c r="A133" s="29">
        <v>5</v>
      </c>
      <c r="B133" s="241" t="s">
        <v>236</v>
      </c>
      <c r="C133" s="249"/>
      <c r="D133" s="249"/>
      <c r="E133" s="249">
        <v>112056996.09</v>
      </c>
      <c r="F133" s="249">
        <f>144248097.94+5264123.1</f>
        <v>149512221.03999999</v>
      </c>
      <c r="G133" s="249">
        <v>474733938.12</v>
      </c>
      <c r="H133" s="451"/>
      <c r="I133" s="249">
        <f t="shared" si="5"/>
        <v>736303155.25</v>
      </c>
    </row>
    <row r="134" spans="1:18" ht="26.4">
      <c r="A134" s="29">
        <v>6</v>
      </c>
      <c r="B134" s="241" t="s">
        <v>237</v>
      </c>
      <c r="C134" s="249"/>
      <c r="D134" s="249"/>
      <c r="E134" s="249"/>
      <c r="F134" s="249"/>
      <c r="G134" s="249"/>
      <c r="H134" s="451"/>
      <c r="I134" s="249"/>
    </row>
    <row r="135" spans="1:18">
      <c r="A135" s="29">
        <v>7</v>
      </c>
      <c r="B135" s="58" t="s">
        <v>238</v>
      </c>
      <c r="C135" s="249">
        <f>+C132-C133+C134</f>
        <v>41998818153.869995</v>
      </c>
      <c r="D135" s="249">
        <f t="shared" ref="D135:I135" si="7">+D132-D133+D134</f>
        <v>21419530466.16</v>
      </c>
      <c r="E135" s="249">
        <f t="shared" si="7"/>
        <v>24995566481.660015</v>
      </c>
      <c r="F135" s="249">
        <f t="shared" si="7"/>
        <v>3476857163.2399998</v>
      </c>
      <c r="G135" s="249">
        <f t="shared" si="7"/>
        <v>5506515071</v>
      </c>
      <c r="H135" s="249">
        <f t="shared" si="7"/>
        <v>1133973505.99</v>
      </c>
      <c r="I135" s="249">
        <f t="shared" si="7"/>
        <v>98531260841.920013</v>
      </c>
    </row>
    <row r="136" spans="1:18">
      <c r="A136" s="29">
        <v>7.1</v>
      </c>
      <c r="B136" s="58" t="s">
        <v>194</v>
      </c>
      <c r="C136" s="249">
        <f>+C129</f>
        <v>24892141994.389999</v>
      </c>
      <c r="D136" s="249">
        <f t="shared" ref="D136:I136" si="8">+D129</f>
        <v>10131853460.590002</v>
      </c>
      <c r="E136" s="249">
        <f t="shared" si="8"/>
        <v>17921326000</v>
      </c>
      <c r="F136" s="249">
        <f t="shared" si="8"/>
        <v>2319392100</v>
      </c>
      <c r="G136" s="249">
        <f t="shared" si="8"/>
        <v>2708150845.02</v>
      </c>
      <c r="H136" s="249">
        <f t="shared" si="8"/>
        <v>0</v>
      </c>
      <c r="I136" s="249">
        <f t="shared" si="8"/>
        <v>57972864400</v>
      </c>
    </row>
    <row r="137" spans="1:18">
      <c r="A137" s="29">
        <v>7.2</v>
      </c>
      <c r="B137" s="58" t="s">
        <v>195</v>
      </c>
      <c r="C137" s="249">
        <f>+C136+C130-C131-C133+C134</f>
        <v>41998818153.869995</v>
      </c>
      <c r="D137" s="249">
        <f t="shared" ref="D137:I137" si="9">+D136+D130-D131-D133+D134</f>
        <v>21419530466.16</v>
      </c>
      <c r="E137" s="249">
        <f t="shared" si="9"/>
        <v>24995566481.660015</v>
      </c>
      <c r="F137" s="249">
        <f t="shared" si="9"/>
        <v>3476857163.2399998</v>
      </c>
      <c r="G137" s="249">
        <f t="shared" si="9"/>
        <v>5506515071</v>
      </c>
      <c r="H137" s="249">
        <f t="shared" si="9"/>
        <v>1133973505.99</v>
      </c>
      <c r="I137" s="249">
        <f t="shared" si="9"/>
        <v>98531260841.920013</v>
      </c>
      <c r="J137" s="214">
        <f>+I137-I138</f>
        <v>-4.2724609375E-3</v>
      </c>
    </row>
    <row r="138" spans="1:18">
      <c r="A138" s="20"/>
      <c r="B138" s="64"/>
      <c r="C138" s="232">
        <f>+'BL mn'!N37</f>
        <v>41998818153.86927</v>
      </c>
      <c r="D138" s="232">
        <f>+'BL mn'!N38</f>
        <v>21419530466.155006</v>
      </c>
      <c r="E138" s="232">
        <f>+'BL mn'!N39-112056996.09</f>
        <v>24995566481.66</v>
      </c>
      <c r="F138" s="232">
        <f>+'BL mn'!N40-149512221.04</f>
        <v>3476857163.2400017</v>
      </c>
      <c r="G138" s="232">
        <f>+'BL mn'!N42-474733938.13</f>
        <v>5506515071</v>
      </c>
      <c r="H138" s="232">
        <f>+'BL mn'!N41</f>
        <v>1133973505.99</v>
      </c>
      <c r="I138" s="232">
        <f>+'BL mn'!N36</f>
        <v>98531260841.924286</v>
      </c>
      <c r="J138" s="214" t="e">
        <f>+I138-#REF!</f>
        <v>#REF!</v>
      </c>
    </row>
    <row r="139" spans="1:18">
      <c r="A139" s="1023" t="s">
        <v>239</v>
      </c>
      <c r="B139" s="1023"/>
      <c r="C139" s="1023"/>
      <c r="D139" s="1023"/>
      <c r="E139" s="1023"/>
      <c r="F139" s="1023"/>
      <c r="G139" s="1023"/>
      <c r="H139" s="1023"/>
      <c r="I139" s="1023"/>
      <c r="K139" s="214">
        <f>SUM(C138:H138)</f>
        <v>98531260841.914291</v>
      </c>
    </row>
    <row r="140" spans="1:18">
      <c r="A140" s="1023"/>
      <c r="B140" s="1023"/>
      <c r="C140" s="1023"/>
      <c r="D140" s="1023"/>
      <c r="E140" s="1023"/>
      <c r="F140" s="1023"/>
      <c r="G140" s="1023"/>
      <c r="H140" s="1023"/>
      <c r="I140" s="1023"/>
      <c r="K140" s="214">
        <f>+K139-I138</f>
        <v>-9.9945068359375E-3</v>
      </c>
    </row>
    <row r="141" spans="1:18">
      <c r="A141" s="1023"/>
      <c r="B141" s="1023"/>
      <c r="C141" s="1023"/>
      <c r="D141" s="1023"/>
      <c r="E141" s="1023"/>
      <c r="F141" s="1023"/>
      <c r="G141" s="1023"/>
      <c r="H141" s="1023"/>
      <c r="I141" s="1023"/>
    </row>
    <row r="142" spans="1:18">
      <c r="A142" s="1023" t="s">
        <v>240</v>
      </c>
      <c r="B142" s="1023"/>
      <c r="C142" s="1023"/>
      <c r="D142" s="1023"/>
      <c r="E142" s="1023"/>
      <c r="F142" s="1023"/>
      <c r="G142" s="1023"/>
      <c r="H142" s="1023"/>
      <c r="I142" s="1023"/>
    </row>
    <row r="143" spans="1:18">
      <c r="A143" s="1023"/>
      <c r="B143" s="1023"/>
      <c r="C143" s="1023"/>
      <c r="D143" s="1023"/>
      <c r="E143" s="1023"/>
      <c r="F143" s="1023"/>
      <c r="G143" s="1023"/>
      <c r="H143" s="1023"/>
      <c r="I143" s="1023"/>
    </row>
    <row r="144" spans="1:18">
      <c r="A144" s="1029"/>
      <c r="B144" s="1029"/>
      <c r="C144" s="1029"/>
      <c r="D144" s="1029"/>
      <c r="E144" s="1029"/>
      <c r="F144" s="1029"/>
      <c r="G144" s="1029"/>
      <c r="H144" s="1029"/>
      <c r="I144" s="1029"/>
    </row>
    <row r="145" spans="1:10">
      <c r="A145" s="230" t="s">
        <v>1040</v>
      </c>
      <c r="B145" s="224"/>
      <c r="C145" s="260"/>
      <c r="D145" s="260"/>
      <c r="E145" s="260"/>
      <c r="F145" s="260"/>
      <c r="G145" s="260"/>
      <c r="H145" s="260"/>
      <c r="I145" s="260"/>
    </row>
    <row r="146" spans="1:10">
      <c r="A146" s="20"/>
      <c r="B146" s="64"/>
      <c r="C146" s="232"/>
      <c r="D146" s="232"/>
      <c r="E146" s="232"/>
      <c r="F146" s="232"/>
      <c r="G146" s="232"/>
      <c r="H146" s="232"/>
      <c r="I146" s="232"/>
    </row>
    <row r="147" spans="1:10">
      <c r="A147" s="1030" t="s">
        <v>241</v>
      </c>
      <c r="B147" s="1030"/>
      <c r="C147" s="1030"/>
      <c r="D147" s="1030"/>
      <c r="E147" s="1030"/>
      <c r="F147" s="1030"/>
      <c r="G147" s="1030"/>
      <c r="H147" s="1030"/>
      <c r="I147" s="1030"/>
    </row>
    <row r="148" spans="1:10">
      <c r="A148" s="47"/>
      <c r="B148" s="47"/>
      <c r="C148" s="452"/>
      <c r="D148" s="452"/>
      <c r="E148" s="452"/>
      <c r="F148" s="452"/>
      <c r="G148" s="452"/>
      <c r="H148" s="452"/>
      <c r="I148" s="452"/>
    </row>
    <row r="149" spans="1:10">
      <c r="A149" s="1023" t="s">
        <v>242</v>
      </c>
      <c r="B149" s="1023"/>
      <c r="C149" s="1023"/>
      <c r="D149" s="1023"/>
      <c r="E149" s="1023"/>
      <c r="F149" s="1023"/>
      <c r="G149" s="1023"/>
      <c r="H149" s="1023"/>
      <c r="I149" s="1023"/>
    </row>
    <row r="150" spans="1:10">
      <c r="A150" s="1023"/>
      <c r="B150" s="1023"/>
      <c r="C150" s="1023"/>
      <c r="D150" s="1023"/>
      <c r="E150" s="1023"/>
      <c r="F150" s="1023"/>
      <c r="G150" s="1023"/>
      <c r="H150" s="1023"/>
      <c r="I150" s="1023"/>
    </row>
    <row r="151" spans="1:10">
      <c r="A151" s="244"/>
      <c r="B151" s="224"/>
      <c r="C151" s="260" t="s">
        <v>1039</v>
      </c>
      <c r="D151" s="260"/>
      <c r="E151" s="260"/>
      <c r="F151" s="260"/>
      <c r="G151" s="260"/>
      <c r="H151" s="260"/>
      <c r="I151" s="260"/>
    </row>
    <row r="152" spans="1:10">
      <c r="A152" s="20"/>
      <c r="B152" s="64"/>
      <c r="C152" s="232"/>
      <c r="D152" s="232"/>
      <c r="E152" s="232"/>
      <c r="F152" s="232"/>
      <c r="G152" s="232"/>
      <c r="H152" s="232"/>
      <c r="I152" s="232"/>
    </row>
    <row r="153" spans="1:10">
      <c r="A153" s="221" t="s">
        <v>243</v>
      </c>
      <c r="B153" s="222"/>
      <c r="C153" s="251"/>
      <c r="D153" s="251"/>
      <c r="E153" s="251"/>
      <c r="F153" s="251"/>
      <c r="G153" s="251"/>
      <c r="H153" s="251"/>
      <c r="I153" s="251"/>
    </row>
    <row r="154" spans="1:10">
      <c r="A154" s="20"/>
      <c r="B154" s="64"/>
      <c r="C154" s="232"/>
      <c r="D154" s="232"/>
      <c r="E154" s="232"/>
      <c r="F154" s="232"/>
      <c r="G154" s="232"/>
      <c r="H154" s="232"/>
      <c r="I154" s="232"/>
    </row>
    <row r="155" spans="1:10">
      <c r="A155" s="35" t="s">
        <v>192</v>
      </c>
      <c r="B155" s="1025" t="s">
        <v>193</v>
      </c>
      <c r="C155" s="1025"/>
      <c r="D155" s="1025"/>
      <c r="E155" s="1007" t="s">
        <v>194</v>
      </c>
      <c r="F155" s="1007"/>
      <c r="G155" s="1007" t="s">
        <v>195</v>
      </c>
      <c r="H155" s="1007"/>
      <c r="I155" s="83"/>
    </row>
    <row r="156" spans="1:10">
      <c r="A156" s="29">
        <v>1</v>
      </c>
      <c r="B156" s="1026" t="s">
        <v>244</v>
      </c>
      <c r="C156" s="1026"/>
      <c r="D156" s="1026"/>
      <c r="E156" s="1027">
        <f>+'BL mn'!AB44+'BL mn'!AB50</f>
        <v>2203169921.3400002</v>
      </c>
      <c r="F156" s="1027"/>
      <c r="G156" s="1027">
        <f>+'BL mn'!N44</f>
        <v>2374430709.46</v>
      </c>
      <c r="H156" s="1027"/>
      <c r="I156" s="232"/>
    </row>
    <row r="157" spans="1:10">
      <c r="A157" s="29">
        <v>2</v>
      </c>
      <c r="B157" s="1026" t="s">
        <v>245</v>
      </c>
      <c r="C157" s="1026"/>
      <c r="D157" s="1026"/>
      <c r="E157" s="1027"/>
      <c r="F157" s="1027"/>
      <c r="G157" s="1027"/>
      <c r="H157" s="1027"/>
      <c r="I157" s="232"/>
    </row>
    <row r="158" spans="1:10">
      <c r="A158" s="29">
        <v>3</v>
      </c>
      <c r="B158" s="1028" t="s">
        <v>246</v>
      </c>
      <c r="C158" s="1028"/>
      <c r="D158" s="1028"/>
      <c r="E158" s="1027"/>
      <c r="F158" s="1027"/>
      <c r="G158" s="1027"/>
      <c r="H158" s="1027"/>
      <c r="I158" s="232"/>
    </row>
    <row r="159" spans="1:10">
      <c r="A159" s="1025" t="s">
        <v>82</v>
      </c>
      <c r="B159" s="1025"/>
      <c r="C159" s="1025"/>
      <c r="D159" s="1025"/>
      <c r="E159" s="1019">
        <f>SUM(E156:F158)</f>
        <v>2203169921.3400002</v>
      </c>
      <c r="F159" s="1019"/>
      <c r="G159" s="1019">
        <f>SUM(G156:H158)</f>
        <v>2374430709.46</v>
      </c>
      <c r="H159" s="1019"/>
      <c r="I159" s="407">
        <f>+balance!D15</f>
        <v>2318494718.8752141</v>
      </c>
      <c r="J159" s="214">
        <f>+I159-G159</f>
        <v>-55935990.584785938</v>
      </c>
    </row>
  </sheetData>
  <mergeCells count="129">
    <mergeCell ref="B121:E121"/>
    <mergeCell ref="F121:G121"/>
    <mergeCell ref="H121:I121"/>
    <mergeCell ref="B122:E122"/>
    <mergeCell ref="F122:G122"/>
    <mergeCell ref="H122:I122"/>
    <mergeCell ref="A142:I144"/>
    <mergeCell ref="A147:I147"/>
    <mergeCell ref="A149:I150"/>
    <mergeCell ref="A123:E123"/>
    <mergeCell ref="F123:G123"/>
    <mergeCell ref="H123:I123"/>
    <mergeCell ref="A127:A128"/>
    <mergeCell ref="B127:B128"/>
    <mergeCell ref="C127:H127"/>
    <mergeCell ref="I127:I128"/>
    <mergeCell ref="A139:I141"/>
    <mergeCell ref="A159:D159"/>
    <mergeCell ref="E159:F159"/>
    <mergeCell ref="G159:H159"/>
    <mergeCell ref="B157:D157"/>
    <mergeCell ref="E157:F157"/>
    <mergeCell ref="G157:H157"/>
    <mergeCell ref="B158:D158"/>
    <mergeCell ref="B155:D155"/>
    <mergeCell ref="E155:F155"/>
    <mergeCell ref="G155:H155"/>
    <mergeCell ref="E158:F158"/>
    <mergeCell ref="G158:H158"/>
    <mergeCell ref="B156:D156"/>
    <mergeCell ref="E156:F156"/>
    <mergeCell ref="G156:H156"/>
    <mergeCell ref="A111:E111"/>
    <mergeCell ref="F111:G111"/>
    <mergeCell ref="H111:I111"/>
    <mergeCell ref="A113:I116"/>
    <mergeCell ref="B120:E120"/>
    <mergeCell ref="F120:G120"/>
    <mergeCell ref="H120:I120"/>
    <mergeCell ref="B109:E109"/>
    <mergeCell ref="B110:E110"/>
    <mergeCell ref="F109:G109"/>
    <mergeCell ref="H109:I109"/>
    <mergeCell ref="F110:G110"/>
    <mergeCell ref="H110:I110"/>
    <mergeCell ref="B107:E107"/>
    <mergeCell ref="F107:G107"/>
    <mergeCell ref="H107:I107"/>
    <mergeCell ref="B108:E108"/>
    <mergeCell ref="F108:G108"/>
    <mergeCell ref="H108:I108"/>
    <mergeCell ref="B105:E105"/>
    <mergeCell ref="F105:G105"/>
    <mergeCell ref="H105:I105"/>
    <mergeCell ref="B106:E106"/>
    <mergeCell ref="F106:G106"/>
    <mergeCell ref="H106:I106"/>
    <mergeCell ref="A100:E100"/>
    <mergeCell ref="F100:G100"/>
    <mergeCell ref="H100:I100"/>
    <mergeCell ref="B104:E104"/>
    <mergeCell ref="F104:G104"/>
    <mergeCell ref="H104:I104"/>
    <mergeCell ref="B97:E97"/>
    <mergeCell ref="F97:G97"/>
    <mergeCell ref="H97:I97"/>
    <mergeCell ref="B99:E99"/>
    <mergeCell ref="F99:G99"/>
    <mergeCell ref="H99:I99"/>
    <mergeCell ref="B98:E98"/>
    <mergeCell ref="F98:G98"/>
    <mergeCell ref="H98:I98"/>
    <mergeCell ref="B95:E95"/>
    <mergeCell ref="F95:G95"/>
    <mergeCell ref="H95:I95"/>
    <mergeCell ref="B96:E96"/>
    <mergeCell ref="F96:G96"/>
    <mergeCell ref="H96:I96"/>
    <mergeCell ref="B90:C90"/>
    <mergeCell ref="D90:E90"/>
    <mergeCell ref="F90:G90"/>
    <mergeCell ref="H90:I90"/>
    <mergeCell ref="A91:C91"/>
    <mergeCell ref="D91:E91"/>
    <mergeCell ref="F91:G91"/>
    <mergeCell ref="H91:I91"/>
    <mergeCell ref="H92:I92"/>
    <mergeCell ref="B88:C88"/>
    <mergeCell ref="D88:E88"/>
    <mergeCell ref="F88:G88"/>
    <mergeCell ref="H88:I88"/>
    <mergeCell ref="B89:C89"/>
    <mergeCell ref="D89:E89"/>
    <mergeCell ref="F89:G89"/>
    <mergeCell ref="H89:I89"/>
    <mergeCell ref="B86:C86"/>
    <mergeCell ref="D86:E86"/>
    <mergeCell ref="F86:G86"/>
    <mergeCell ref="H86:I86"/>
    <mergeCell ref="B87:C87"/>
    <mergeCell ref="D87:E87"/>
    <mergeCell ref="F87:G87"/>
    <mergeCell ref="H87:I87"/>
    <mergeCell ref="A77:E77"/>
    <mergeCell ref="F77:G77"/>
    <mergeCell ref="H77:I77"/>
    <mergeCell ref="B85:C85"/>
    <mergeCell ref="D85:E85"/>
    <mergeCell ref="F85:G85"/>
    <mergeCell ref="H85:I85"/>
    <mergeCell ref="B75:E75"/>
    <mergeCell ref="F75:G75"/>
    <mergeCell ref="H75:I75"/>
    <mergeCell ref="B76:E76"/>
    <mergeCell ref="F76:G76"/>
    <mergeCell ref="H76:I76"/>
    <mergeCell ref="B73:E73"/>
    <mergeCell ref="F73:G73"/>
    <mergeCell ref="H73:I73"/>
    <mergeCell ref="B74:E74"/>
    <mergeCell ref="F74:G74"/>
    <mergeCell ref="H74:I74"/>
    <mergeCell ref="A1:I2"/>
    <mergeCell ref="A3:D3"/>
    <mergeCell ref="A4:D4"/>
    <mergeCell ref="C8:G8"/>
    <mergeCell ref="A25:I26"/>
    <mergeCell ref="A48:B48"/>
    <mergeCell ref="C9:G9"/>
  </mergeCells>
  <phoneticPr fontId="9" type="noConversion"/>
  <pageMargins left="0.2" right="0.19" top="0.32" bottom="0.45" header="0.3" footer="0.3"/>
  <pageSetup paperSize="9" scale="83" fitToHeight="0"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L164"/>
  <sheetViews>
    <sheetView topLeftCell="E133" workbookViewId="0">
      <selection activeCell="B5" sqref="B5:C5"/>
    </sheetView>
  </sheetViews>
  <sheetFormatPr defaultColWidth="9.109375" defaultRowHeight="13.2"/>
  <cols>
    <col min="1" max="1" width="9.109375" style="213"/>
    <col min="2" max="2" width="19.109375" style="213" customWidth="1"/>
    <col min="3" max="3" width="12.88671875" style="213" customWidth="1"/>
    <col min="4" max="4" width="13.88671875" style="213" customWidth="1"/>
    <col min="5" max="5" width="14.44140625" style="213" customWidth="1"/>
    <col min="6" max="6" width="13.33203125" style="213" customWidth="1"/>
    <col min="7" max="7" width="13.88671875" style="213" customWidth="1"/>
    <col min="8" max="8" width="9.44140625" style="213" bestFit="1" customWidth="1"/>
    <col min="9" max="9" width="18.44140625" style="213" customWidth="1"/>
    <col min="10" max="10" width="11.109375" style="213" bestFit="1" customWidth="1"/>
    <col min="11" max="12" width="16.44140625" style="214" customWidth="1"/>
    <col min="13" max="16384" width="9.109375" style="213"/>
  </cols>
  <sheetData>
    <row r="1" spans="1:9">
      <c r="A1" s="995" t="s">
        <v>179</v>
      </c>
      <c r="B1" s="995"/>
      <c r="C1" s="995"/>
      <c r="D1" s="995"/>
      <c r="E1" s="995"/>
      <c r="F1" s="995"/>
      <c r="G1" s="995"/>
      <c r="H1" s="995"/>
      <c r="I1" s="995"/>
    </row>
    <row r="2" spans="1:9">
      <c r="A2" s="995"/>
      <c r="B2" s="995"/>
      <c r="C2" s="995"/>
      <c r="D2" s="995"/>
      <c r="E2" s="995"/>
      <c r="F2" s="995"/>
      <c r="G2" s="995"/>
      <c r="H2" s="995"/>
      <c r="I2" s="995"/>
    </row>
    <row r="3" spans="1:9">
      <c r="A3" s="996" t="str">
        <f>+nuur1!A3</f>
        <v>"ГОВЬ" ХК-ийн</v>
      </c>
      <c r="B3" s="996"/>
      <c r="C3" s="996"/>
      <c r="D3" s="996"/>
      <c r="E3" s="215"/>
      <c r="F3" s="215"/>
      <c r="G3" s="216"/>
      <c r="H3" s="215"/>
      <c r="I3" s="215"/>
    </row>
    <row r="4" spans="1:9" ht="13.8">
      <c r="A4" s="997"/>
      <c r="B4" s="997"/>
      <c r="C4" s="997"/>
      <c r="D4" s="997"/>
      <c r="E4" s="215"/>
      <c r="F4" s="215"/>
      <c r="G4" s="216"/>
      <c r="H4" s="217" t="str">
        <f>+nuur1!A7</f>
        <v>2022  оны  12  сарын 31 өдөр</v>
      </c>
      <c r="I4" s="215"/>
    </row>
    <row r="5" spans="1:9">
      <c r="A5" s="17"/>
      <c r="B5" s="17"/>
      <c r="C5" s="17"/>
      <c r="D5" s="17"/>
      <c r="E5" s="215"/>
      <c r="F5" s="215"/>
      <c r="G5" s="216"/>
      <c r="H5" s="216"/>
      <c r="I5" s="215"/>
    </row>
    <row r="6" spans="1:9">
      <c r="A6" s="18"/>
      <c r="B6" s="218" t="s">
        <v>180</v>
      </c>
      <c r="C6" s="64"/>
      <c r="D6" s="64"/>
      <c r="E6" s="64"/>
      <c r="F6" s="64"/>
      <c r="G6" s="64"/>
      <c r="H6" s="64"/>
      <c r="I6" s="64"/>
    </row>
    <row r="7" spans="1:9">
      <c r="A7" s="20"/>
      <c r="B7" s="64"/>
      <c r="C7" s="64"/>
      <c r="D7" s="64"/>
      <c r="E7" s="64"/>
      <c r="F7" s="64"/>
      <c r="G7" s="64"/>
      <c r="H7" s="64"/>
      <c r="I7" s="64"/>
    </row>
    <row r="8" spans="1:9">
      <c r="A8" s="20"/>
      <c r="B8" s="219" t="s">
        <v>181</v>
      </c>
      <c r="C8" s="1035" t="s">
        <v>500</v>
      </c>
      <c r="D8" s="1035"/>
      <c r="E8" s="1035"/>
      <c r="F8" s="1035"/>
      <c r="G8" s="1035"/>
      <c r="H8" s="64"/>
      <c r="I8" s="64"/>
    </row>
    <row r="9" spans="1:9">
      <c r="A9" s="20"/>
      <c r="B9" s="219" t="s">
        <v>182</v>
      </c>
      <c r="C9" s="1036" t="s">
        <v>501</v>
      </c>
      <c r="D9" s="1036"/>
      <c r="E9" s="1036"/>
      <c r="F9" s="1036"/>
      <c r="G9" s="1036"/>
      <c r="H9" s="220"/>
      <c r="I9" s="220"/>
    </row>
    <row r="10" spans="1:9">
      <c r="A10" s="20"/>
      <c r="B10" s="219" t="s">
        <v>183</v>
      </c>
      <c r="C10" s="52"/>
      <c r="D10" s="52"/>
      <c r="E10" s="52"/>
      <c r="F10" s="52"/>
      <c r="G10" s="52"/>
      <c r="H10" s="220"/>
      <c r="I10" s="220"/>
    </row>
    <row r="11" spans="1:9">
      <c r="A11" s="20"/>
      <c r="B11" s="64"/>
      <c r="C11" s="64"/>
      <c r="D11" s="64"/>
      <c r="E11" s="64"/>
      <c r="F11" s="64"/>
      <c r="G11" s="64"/>
      <c r="H11" s="64"/>
      <c r="I11" s="64"/>
    </row>
    <row r="12" spans="1:9" hidden="1">
      <c r="A12" s="20"/>
      <c r="B12" s="218" t="s">
        <v>184</v>
      </c>
      <c r="C12" s="64"/>
      <c r="D12" s="64"/>
      <c r="E12" s="64"/>
      <c r="F12" s="64"/>
      <c r="G12" s="64"/>
      <c r="H12" s="64"/>
      <c r="I12" s="64"/>
    </row>
    <row r="13" spans="1:9" hidden="1">
      <c r="A13" s="20"/>
      <c r="B13" s="64"/>
      <c r="C13" s="64"/>
      <c r="D13" s="64"/>
      <c r="E13" s="64"/>
      <c r="F13" s="64"/>
      <c r="G13" s="64"/>
      <c r="H13" s="64"/>
      <c r="I13" s="64"/>
    </row>
    <row r="14" spans="1:9" hidden="1">
      <c r="A14" s="20"/>
      <c r="B14" s="219" t="s">
        <v>181</v>
      </c>
      <c r="C14" s="52"/>
      <c r="D14" s="52"/>
      <c r="E14" s="52"/>
      <c r="F14" s="52"/>
      <c r="G14" s="52"/>
      <c r="H14" s="64"/>
      <c r="I14" s="64"/>
    </row>
    <row r="15" spans="1:9" hidden="1">
      <c r="A15" s="20"/>
      <c r="B15" s="219" t="s">
        <v>182</v>
      </c>
      <c r="C15" s="52"/>
      <c r="D15" s="52"/>
      <c r="E15" s="52"/>
      <c r="F15" s="52"/>
      <c r="G15" s="52"/>
      <c r="H15" s="64"/>
      <c r="I15" s="64"/>
    </row>
    <row r="16" spans="1:9" hidden="1">
      <c r="A16" s="20"/>
      <c r="B16" s="219" t="s">
        <v>183</v>
      </c>
      <c r="C16" s="52"/>
      <c r="D16" s="52"/>
      <c r="E16" s="52"/>
      <c r="F16" s="52"/>
      <c r="G16" s="52"/>
      <c r="H16" s="64"/>
      <c r="I16" s="64"/>
    </row>
    <row r="17" spans="1:9" hidden="1">
      <c r="A17" s="20"/>
      <c r="B17" s="64"/>
      <c r="C17" s="64"/>
      <c r="D17" s="64"/>
      <c r="E17" s="64"/>
      <c r="F17" s="64"/>
      <c r="G17" s="64"/>
      <c r="H17" s="64"/>
      <c r="I17" s="64"/>
    </row>
    <row r="18" spans="1:9" hidden="1">
      <c r="A18" s="20"/>
      <c r="B18" s="218" t="s">
        <v>185</v>
      </c>
      <c r="C18" s="64"/>
      <c r="D18" s="64"/>
      <c r="E18" s="64"/>
      <c r="F18" s="64"/>
      <c r="G18" s="64"/>
      <c r="H18" s="64"/>
      <c r="I18" s="64"/>
    </row>
    <row r="19" spans="1:9" hidden="1">
      <c r="A19" s="20"/>
      <c r="B19" s="64"/>
      <c r="C19" s="64"/>
      <c r="D19" s="64"/>
      <c r="E19" s="64"/>
      <c r="F19" s="64"/>
      <c r="G19" s="64"/>
      <c r="H19" s="64"/>
      <c r="I19" s="64"/>
    </row>
    <row r="20" spans="1:9" hidden="1">
      <c r="A20" s="20"/>
      <c r="B20" s="219" t="s">
        <v>181</v>
      </c>
      <c r="C20" s="52"/>
      <c r="D20" s="52"/>
      <c r="E20" s="52"/>
      <c r="F20" s="52"/>
      <c r="G20" s="52"/>
      <c r="H20" s="64"/>
      <c r="I20" s="64"/>
    </row>
    <row r="21" spans="1:9" hidden="1">
      <c r="A21" s="20"/>
      <c r="B21" s="219" t="s">
        <v>182</v>
      </c>
      <c r="C21" s="52"/>
      <c r="D21" s="52"/>
      <c r="E21" s="52"/>
      <c r="F21" s="52"/>
      <c r="G21" s="52"/>
      <c r="H21" s="64"/>
      <c r="I21" s="64"/>
    </row>
    <row r="22" spans="1:9" hidden="1">
      <c r="A22" s="20"/>
      <c r="B22" s="219" t="s">
        <v>183</v>
      </c>
      <c r="C22" s="52"/>
      <c r="D22" s="52"/>
      <c r="E22" s="52"/>
      <c r="F22" s="52"/>
      <c r="G22" s="52"/>
      <c r="H22" s="64"/>
      <c r="I22" s="64"/>
    </row>
    <row r="23" spans="1:9" hidden="1">
      <c r="A23" s="20"/>
      <c r="B23" s="64"/>
      <c r="C23" s="64"/>
      <c r="D23" s="64"/>
      <c r="E23" s="64"/>
      <c r="F23" s="64"/>
      <c r="G23" s="64"/>
      <c r="H23" s="64"/>
      <c r="I23" s="64"/>
    </row>
    <row r="24" spans="1:9">
      <c r="A24" s="221" t="s">
        <v>186</v>
      </c>
      <c r="B24" s="222"/>
      <c r="C24" s="222"/>
      <c r="D24" s="222"/>
      <c r="E24" s="222"/>
      <c r="F24" s="222"/>
      <c r="G24" s="222"/>
      <c r="H24" s="222"/>
      <c r="I24" s="222"/>
    </row>
    <row r="25" spans="1:9">
      <c r="A25" s="999" t="s">
        <v>187</v>
      </c>
      <c r="B25" s="999"/>
      <c r="C25" s="999"/>
      <c r="D25" s="999"/>
      <c r="E25" s="999"/>
      <c r="F25" s="999"/>
      <c r="G25" s="999"/>
      <c r="H25" s="999"/>
      <c r="I25" s="999"/>
    </row>
    <row r="26" spans="1:9">
      <c r="A26" s="999"/>
      <c r="B26" s="999"/>
      <c r="C26" s="999"/>
      <c r="D26" s="999"/>
      <c r="E26" s="999"/>
      <c r="F26" s="999"/>
      <c r="G26" s="999"/>
      <c r="H26" s="999"/>
      <c r="I26" s="999"/>
    </row>
    <row r="27" spans="1:9">
      <c r="A27" s="223" t="s">
        <v>188</v>
      </c>
      <c r="B27" s="224"/>
      <c r="C27" s="224"/>
      <c r="D27" s="224"/>
      <c r="E27" s="224"/>
      <c r="F27" s="224"/>
      <c r="G27" s="224"/>
      <c r="H27" s="224"/>
      <c r="I27" s="224"/>
    </row>
    <row r="28" spans="1:9">
      <c r="A28" s="224"/>
      <c r="B28" s="224"/>
      <c r="C28" s="224"/>
      <c r="D28" s="224"/>
      <c r="E28" s="224"/>
      <c r="F28" s="224"/>
      <c r="G28" s="224"/>
      <c r="H28" s="224"/>
      <c r="I28" s="224"/>
    </row>
    <row r="29" spans="1:9">
      <c r="A29" s="224"/>
      <c r="B29" s="224"/>
      <c r="C29" s="224"/>
      <c r="D29" s="224"/>
      <c r="E29" s="224"/>
      <c r="F29" s="224"/>
      <c r="G29" s="224"/>
      <c r="H29" s="224"/>
      <c r="I29" s="224"/>
    </row>
    <row r="30" spans="1:9">
      <c r="A30" s="224"/>
      <c r="B30" s="224"/>
      <c r="C30" s="224"/>
      <c r="D30" s="224"/>
      <c r="E30" s="224"/>
      <c r="F30" s="224"/>
      <c r="G30" s="224"/>
      <c r="H30" s="224"/>
      <c r="I30" s="224"/>
    </row>
    <row r="31" spans="1:9">
      <c r="A31" s="224"/>
      <c r="B31" s="224"/>
      <c r="C31" s="224"/>
      <c r="D31" s="224"/>
      <c r="E31" s="224"/>
      <c r="F31" s="224"/>
      <c r="G31" s="224"/>
      <c r="H31" s="224"/>
      <c r="I31" s="224"/>
    </row>
    <row r="32" spans="1:9" hidden="1">
      <c r="A32" s="224"/>
      <c r="B32" s="224"/>
      <c r="C32" s="224"/>
      <c r="D32" s="224"/>
      <c r="E32" s="224"/>
      <c r="F32" s="224"/>
      <c r="G32" s="224"/>
      <c r="H32" s="224"/>
      <c r="I32" s="224"/>
    </row>
    <row r="33" spans="1:9" hidden="1">
      <c r="A33" s="224"/>
      <c r="B33" s="224"/>
      <c r="C33" s="224"/>
      <c r="D33" s="224"/>
      <c r="E33" s="224"/>
      <c r="F33" s="224"/>
      <c r="G33" s="224"/>
      <c r="H33" s="224"/>
      <c r="I33" s="224"/>
    </row>
    <row r="34" spans="1:9" hidden="1">
      <c r="A34" s="224"/>
      <c r="B34" s="224"/>
      <c r="C34" s="224"/>
      <c r="D34" s="224"/>
      <c r="E34" s="224"/>
      <c r="F34" s="224"/>
      <c r="G34" s="224"/>
      <c r="H34" s="224"/>
      <c r="I34" s="224"/>
    </row>
    <row r="35" spans="1:9" hidden="1">
      <c r="A35" s="224"/>
      <c r="B35" s="224"/>
      <c r="C35" s="224"/>
      <c r="D35" s="224"/>
      <c r="E35" s="224"/>
      <c r="F35" s="224"/>
      <c r="G35" s="224"/>
      <c r="H35" s="224"/>
      <c r="I35" s="224"/>
    </row>
    <row r="36" spans="1:9" hidden="1">
      <c r="A36" s="224"/>
      <c r="B36" s="224"/>
      <c r="C36" s="224"/>
      <c r="D36" s="224"/>
      <c r="E36" s="224"/>
      <c r="F36" s="224"/>
      <c r="G36" s="224"/>
      <c r="H36" s="224"/>
      <c r="I36" s="224"/>
    </row>
    <row r="37" spans="1:9" hidden="1">
      <c r="A37" s="224"/>
      <c r="B37" s="224"/>
      <c r="C37" s="224"/>
      <c r="D37" s="224"/>
      <c r="E37" s="224"/>
      <c r="F37" s="224"/>
      <c r="G37" s="224"/>
      <c r="H37" s="224"/>
      <c r="I37" s="224"/>
    </row>
    <row r="38" spans="1:9" hidden="1">
      <c r="A38" s="224"/>
      <c r="B38" s="224"/>
      <c r="C38" s="224"/>
      <c r="D38" s="224"/>
      <c r="E38" s="224"/>
      <c r="F38" s="224"/>
      <c r="G38" s="224"/>
      <c r="H38" s="224"/>
      <c r="I38" s="224"/>
    </row>
    <row r="39" spans="1:9" hidden="1">
      <c r="A39" s="224"/>
      <c r="B39" s="224"/>
      <c r="C39" s="224"/>
      <c r="D39" s="224"/>
      <c r="E39" s="224"/>
      <c r="F39" s="224"/>
      <c r="G39" s="224"/>
      <c r="H39" s="224"/>
      <c r="I39" s="224"/>
    </row>
    <row r="40" spans="1:9" hidden="1">
      <c r="A40" s="224"/>
      <c r="B40" s="224"/>
      <c r="C40" s="224"/>
      <c r="D40" s="224"/>
      <c r="E40" s="224"/>
      <c r="F40" s="224"/>
      <c r="G40" s="224"/>
      <c r="H40" s="224"/>
      <c r="I40" s="224"/>
    </row>
    <row r="41" spans="1:9" hidden="1">
      <c r="A41" s="224"/>
      <c r="B41" s="224"/>
      <c r="C41" s="224"/>
      <c r="D41" s="224"/>
      <c r="E41" s="224"/>
      <c r="F41" s="224"/>
      <c r="G41" s="224"/>
      <c r="H41" s="224"/>
      <c r="I41" s="224"/>
    </row>
    <row r="42" spans="1:9" hidden="1">
      <c r="A42" s="224"/>
      <c r="B42" s="224"/>
      <c r="C42" s="224"/>
      <c r="D42" s="224"/>
      <c r="E42" s="224"/>
      <c r="F42" s="224"/>
      <c r="G42" s="224"/>
      <c r="H42" s="224"/>
      <c r="I42" s="224"/>
    </row>
    <row r="43" spans="1:9" hidden="1">
      <c r="A43" s="224"/>
      <c r="B43" s="224"/>
      <c r="C43" s="224"/>
      <c r="D43" s="224"/>
      <c r="E43" s="224"/>
      <c r="F43" s="224"/>
      <c r="G43" s="224"/>
      <c r="H43" s="224"/>
      <c r="I43" s="224"/>
    </row>
    <row r="44" spans="1:9" hidden="1">
      <c r="A44" s="224"/>
      <c r="B44" s="224"/>
      <c r="C44" s="224"/>
      <c r="D44" s="224"/>
      <c r="E44" s="224"/>
      <c r="F44" s="224"/>
      <c r="G44" s="224"/>
      <c r="H44" s="224"/>
      <c r="I44" s="224"/>
    </row>
    <row r="45" spans="1:9" hidden="1">
      <c r="A45" s="224"/>
      <c r="B45" s="224"/>
      <c r="C45" s="224"/>
      <c r="D45" s="224"/>
      <c r="E45" s="224"/>
      <c r="F45" s="224"/>
      <c r="G45" s="224"/>
      <c r="H45" s="224"/>
      <c r="I45" s="224"/>
    </row>
    <row r="46" spans="1:9" hidden="1">
      <c r="A46" s="224"/>
      <c r="B46" s="224"/>
      <c r="C46" s="224"/>
      <c r="D46" s="224"/>
      <c r="E46" s="224"/>
      <c r="F46" s="224"/>
      <c r="G46" s="224"/>
      <c r="H46" s="224"/>
      <c r="I46" s="224"/>
    </row>
    <row r="47" spans="1:9" hidden="1">
      <c r="A47" s="224"/>
      <c r="B47" s="224"/>
      <c r="C47" s="224"/>
      <c r="D47" s="224"/>
      <c r="E47" s="224"/>
      <c r="F47" s="224"/>
      <c r="G47" s="224"/>
      <c r="H47" s="224"/>
      <c r="I47" s="224"/>
    </row>
    <row r="48" spans="1:9" hidden="1">
      <c r="A48" s="224"/>
      <c r="B48" s="224"/>
      <c r="C48" s="224"/>
      <c r="D48" s="224"/>
      <c r="E48" s="224"/>
      <c r="F48" s="224"/>
      <c r="G48" s="224"/>
      <c r="H48" s="224"/>
      <c r="I48" s="224"/>
    </row>
    <row r="49" spans="1:9">
      <c r="A49" s="225"/>
      <c r="B49" s="225"/>
      <c r="C49" s="225"/>
      <c r="D49" s="225"/>
      <c r="E49" s="225"/>
      <c r="F49" s="225"/>
      <c r="G49" s="225"/>
      <c r="H49" s="225"/>
      <c r="I49" s="225"/>
    </row>
    <row r="50" spans="1:9">
      <c r="A50" s="221" t="s">
        <v>189</v>
      </c>
      <c r="B50" s="222"/>
      <c r="C50" s="222"/>
      <c r="D50" s="222"/>
      <c r="E50" s="222"/>
      <c r="F50" s="222"/>
      <c r="G50" s="222"/>
      <c r="H50" s="222"/>
      <c r="I50" s="222"/>
    </row>
    <row r="51" spans="1:9">
      <c r="A51" s="1000" t="s">
        <v>190</v>
      </c>
      <c r="B51" s="1000"/>
      <c r="C51" s="224"/>
      <c r="D51" s="224"/>
      <c r="E51" s="224"/>
      <c r="F51" s="224"/>
      <c r="G51" s="224"/>
      <c r="H51" s="224"/>
      <c r="I51" s="224"/>
    </row>
    <row r="52" spans="1:9">
      <c r="A52" s="224"/>
      <c r="B52" s="224"/>
      <c r="C52" s="224"/>
      <c r="D52" s="224"/>
      <c r="E52" s="224"/>
      <c r="F52" s="224"/>
      <c r="G52" s="224"/>
      <c r="H52" s="224"/>
      <c r="I52" s="224"/>
    </row>
    <row r="53" spans="1:9">
      <c r="A53" s="224"/>
      <c r="B53" s="224"/>
      <c r="C53" s="224"/>
      <c r="D53" s="224"/>
      <c r="E53" s="224"/>
      <c r="F53" s="224"/>
      <c r="G53" s="224"/>
      <c r="H53" s="224"/>
      <c r="I53" s="224"/>
    </row>
    <row r="54" spans="1:9" hidden="1">
      <c r="A54" s="224"/>
      <c r="B54" s="224"/>
      <c r="C54" s="224"/>
      <c r="D54" s="224"/>
      <c r="E54" s="224"/>
      <c r="F54" s="224"/>
      <c r="G54" s="224"/>
      <c r="H54" s="224"/>
      <c r="I54" s="224"/>
    </row>
    <row r="55" spans="1:9" hidden="1">
      <c r="A55" s="224"/>
      <c r="B55" s="224"/>
      <c r="C55" s="224"/>
      <c r="D55" s="224"/>
      <c r="E55" s="224"/>
      <c r="F55" s="224"/>
      <c r="G55" s="224"/>
      <c r="H55" s="224"/>
      <c r="I55" s="224"/>
    </row>
    <row r="56" spans="1:9" hidden="1">
      <c r="A56" s="224"/>
      <c r="B56" s="224"/>
      <c r="C56" s="224"/>
      <c r="D56" s="224"/>
      <c r="E56" s="224"/>
      <c r="F56" s="224"/>
      <c r="G56" s="224"/>
      <c r="H56" s="224"/>
      <c r="I56" s="224"/>
    </row>
    <row r="57" spans="1:9" hidden="1">
      <c r="A57" s="224"/>
      <c r="B57" s="224"/>
      <c r="C57" s="224"/>
      <c r="D57" s="224"/>
      <c r="E57" s="224"/>
      <c r="F57" s="224"/>
      <c r="G57" s="224"/>
      <c r="H57" s="224"/>
      <c r="I57" s="224"/>
    </row>
    <row r="58" spans="1:9" hidden="1">
      <c r="A58" s="224"/>
      <c r="B58" s="224"/>
      <c r="C58" s="224"/>
      <c r="D58" s="224"/>
      <c r="E58" s="224"/>
      <c r="F58" s="224"/>
      <c r="G58" s="224"/>
      <c r="H58" s="224"/>
      <c r="I58" s="224"/>
    </row>
    <row r="59" spans="1:9" hidden="1">
      <c r="A59" s="224"/>
      <c r="B59" s="224"/>
      <c r="C59" s="224"/>
      <c r="D59" s="224"/>
      <c r="E59" s="224"/>
      <c r="F59" s="224"/>
      <c r="G59" s="224"/>
      <c r="H59" s="224"/>
      <c r="I59" s="224"/>
    </row>
    <row r="60" spans="1:9" hidden="1">
      <c r="A60" s="224"/>
      <c r="B60" s="224"/>
      <c r="C60" s="224"/>
      <c r="D60" s="224"/>
      <c r="E60" s="224"/>
      <c r="F60" s="224"/>
      <c r="G60" s="224"/>
      <c r="H60" s="224"/>
      <c r="I60" s="224"/>
    </row>
    <row r="61" spans="1:9" hidden="1">
      <c r="A61" s="224"/>
      <c r="B61" s="224"/>
      <c r="C61" s="224"/>
      <c r="D61" s="224"/>
      <c r="E61" s="224"/>
      <c r="F61" s="224"/>
      <c r="G61" s="224"/>
      <c r="H61" s="224"/>
      <c r="I61" s="224"/>
    </row>
    <row r="62" spans="1:9" hidden="1">
      <c r="A62" s="224"/>
      <c r="B62" s="224"/>
      <c r="C62" s="224"/>
      <c r="D62" s="224"/>
      <c r="E62" s="224"/>
      <c r="F62" s="224"/>
      <c r="G62" s="224"/>
      <c r="H62" s="224"/>
      <c r="I62" s="224"/>
    </row>
    <row r="63" spans="1:9" hidden="1">
      <c r="A63" s="224"/>
      <c r="B63" s="224"/>
      <c r="C63" s="224"/>
      <c r="D63" s="224"/>
      <c r="E63" s="224"/>
      <c r="F63" s="224"/>
      <c r="G63" s="224"/>
      <c r="H63" s="224"/>
      <c r="I63" s="224"/>
    </row>
    <row r="64" spans="1:9" hidden="1">
      <c r="A64" s="224"/>
      <c r="B64" s="224"/>
      <c r="C64" s="224"/>
      <c r="D64" s="224"/>
      <c r="E64" s="224"/>
      <c r="F64" s="224"/>
      <c r="G64" s="224"/>
      <c r="H64" s="224"/>
      <c r="I64" s="224"/>
    </row>
    <row r="65" spans="1:9" hidden="1">
      <c r="A65" s="224"/>
      <c r="B65" s="224"/>
      <c r="C65" s="224"/>
      <c r="D65" s="224"/>
      <c r="E65" s="224"/>
      <c r="F65" s="224"/>
      <c r="G65" s="224"/>
      <c r="H65" s="224"/>
      <c r="I65" s="224"/>
    </row>
    <row r="66" spans="1:9" hidden="1">
      <c r="A66" s="224"/>
      <c r="B66" s="224"/>
      <c r="C66" s="224"/>
      <c r="D66" s="224"/>
      <c r="E66" s="224"/>
      <c r="F66" s="224"/>
      <c r="G66" s="224"/>
      <c r="H66" s="224"/>
      <c r="I66" s="224"/>
    </row>
    <row r="67" spans="1:9" hidden="1">
      <c r="A67" s="224"/>
      <c r="B67" s="224"/>
      <c r="C67" s="224"/>
      <c r="D67" s="224"/>
      <c r="E67" s="224"/>
      <c r="F67" s="224"/>
      <c r="G67" s="224"/>
      <c r="H67" s="224"/>
      <c r="I67" s="224"/>
    </row>
    <row r="68" spans="1:9" hidden="1">
      <c r="A68" s="224"/>
      <c r="B68" s="224"/>
      <c r="C68" s="224"/>
      <c r="D68" s="224"/>
      <c r="E68" s="224"/>
      <c r="F68" s="224"/>
      <c r="G68" s="224"/>
      <c r="H68" s="224"/>
      <c r="I68" s="224"/>
    </row>
    <row r="69" spans="1:9" hidden="1">
      <c r="A69" s="224"/>
      <c r="B69" s="224"/>
      <c r="C69" s="224"/>
      <c r="D69" s="224"/>
      <c r="E69" s="224"/>
      <c r="F69" s="224"/>
      <c r="G69" s="224"/>
      <c r="H69" s="224"/>
      <c r="I69" s="224"/>
    </row>
    <row r="70" spans="1:9">
      <c r="A70" s="225"/>
      <c r="B70" s="225"/>
      <c r="C70" s="225"/>
      <c r="D70" s="225"/>
      <c r="E70" s="225"/>
      <c r="F70" s="225"/>
      <c r="G70" s="225"/>
      <c r="H70" s="225"/>
      <c r="I70" s="225"/>
    </row>
    <row r="71" spans="1:9">
      <c r="A71" s="226"/>
      <c r="B71" s="226"/>
      <c r="C71" s="226"/>
      <c r="D71" s="226"/>
      <c r="E71" s="226"/>
      <c r="F71" s="226"/>
      <c r="G71" s="226"/>
      <c r="H71" s="226"/>
      <c r="I71" s="226"/>
    </row>
    <row r="72" spans="1:9">
      <c r="A72" s="226"/>
      <c r="B72" s="226"/>
      <c r="C72" s="226"/>
      <c r="D72" s="226"/>
      <c r="E72" s="226"/>
      <c r="F72" s="226"/>
      <c r="G72" s="226"/>
      <c r="H72" s="226"/>
      <c r="I72" s="226"/>
    </row>
    <row r="73" spans="1:9">
      <c r="A73" s="221" t="s">
        <v>191</v>
      </c>
      <c r="B73" s="227"/>
      <c r="C73" s="227"/>
      <c r="D73" s="227"/>
      <c r="E73" s="227"/>
      <c r="F73" s="227"/>
      <c r="G73" s="227"/>
      <c r="H73" s="227"/>
      <c r="I73" s="227"/>
    </row>
    <row r="74" spans="1:9">
      <c r="A74" s="226"/>
      <c r="B74" s="226"/>
      <c r="C74" s="226"/>
      <c r="D74" s="226"/>
      <c r="E74" s="226"/>
      <c r="F74" s="226"/>
      <c r="G74" s="226"/>
      <c r="H74" s="226"/>
      <c r="I74" s="226"/>
    </row>
    <row r="75" spans="1:9">
      <c r="A75" s="20"/>
      <c r="B75" s="64"/>
      <c r="C75" s="64"/>
      <c r="D75" s="64"/>
      <c r="E75" s="64"/>
      <c r="F75" s="64"/>
      <c r="G75" s="64"/>
      <c r="H75" s="64"/>
      <c r="I75" s="64"/>
    </row>
    <row r="76" spans="1:9" ht="12.75" customHeight="1">
      <c r="A76" s="27" t="s">
        <v>192</v>
      </c>
      <c r="B76" s="985" t="s">
        <v>193</v>
      </c>
      <c r="C76" s="986"/>
      <c r="D76" s="986"/>
      <c r="E76" s="987"/>
      <c r="F76" s="985" t="s">
        <v>194</v>
      </c>
      <c r="G76" s="987"/>
      <c r="H76" s="985" t="s">
        <v>195</v>
      </c>
      <c r="I76" s="987"/>
    </row>
    <row r="77" spans="1:9">
      <c r="A77" s="29">
        <v>1</v>
      </c>
      <c r="B77" s="990" t="s">
        <v>196</v>
      </c>
      <c r="C77" s="991"/>
      <c r="D77" s="991"/>
      <c r="E77" s="992"/>
      <c r="F77" s="993">
        <f>+'todruulgaCash&gt;avlaga'!F74:G74/1000</f>
        <v>112056.08163</v>
      </c>
      <c r="G77" s="994"/>
      <c r="H77" s="993">
        <f>+'todruulgaCash&gt;avlaga'!H74:I74/1000</f>
        <v>276983.69851000002</v>
      </c>
      <c r="I77" s="994"/>
    </row>
    <row r="78" spans="1:9">
      <c r="A78" s="29">
        <v>2</v>
      </c>
      <c r="B78" s="990" t="s">
        <v>197</v>
      </c>
      <c r="C78" s="991"/>
      <c r="D78" s="991"/>
      <c r="E78" s="992"/>
      <c r="F78" s="993">
        <f>+'todruulgaCash&gt;avlaga'!F75:G75/1000</f>
        <v>17433222.919599999</v>
      </c>
      <c r="G78" s="994"/>
      <c r="H78" s="993">
        <f>+'todruulgaCash&gt;avlaga'!H75:I75/1000</f>
        <v>4904029.0731300004</v>
      </c>
      <c r="I78" s="994"/>
    </row>
    <row r="79" spans="1:9">
      <c r="A79" s="29">
        <v>3</v>
      </c>
      <c r="B79" s="990" t="s">
        <v>198</v>
      </c>
      <c r="C79" s="991"/>
      <c r="D79" s="991"/>
      <c r="E79" s="992"/>
      <c r="F79" s="993">
        <f>+'todruulgaCash&gt;avlaga'!F76:G76/1000</f>
        <v>466069.67077000003</v>
      </c>
      <c r="G79" s="994"/>
      <c r="H79" s="993">
        <f>+'todruulgaCash&gt;avlaga'!H76:I76/1000</f>
        <v>401663.26699999999</v>
      </c>
      <c r="I79" s="994"/>
    </row>
    <row r="80" spans="1:9">
      <c r="A80" s="1002" t="s">
        <v>199</v>
      </c>
      <c r="B80" s="1003"/>
      <c r="C80" s="1003"/>
      <c r="D80" s="1003"/>
      <c r="E80" s="1004"/>
      <c r="F80" s="1005">
        <f>SUM(F77:F79)</f>
        <v>18011348.671999998</v>
      </c>
      <c r="G80" s="1006"/>
      <c r="H80" s="1005">
        <f>SUM(H77:H79)</f>
        <v>5582676.0386400009</v>
      </c>
      <c r="I80" s="1006"/>
    </row>
    <row r="81" spans="1:12">
      <c r="A81" s="30"/>
      <c r="B81" s="31" t="s">
        <v>200</v>
      </c>
      <c r="C81" s="228" t="s">
        <v>201</v>
      </c>
      <c r="D81" s="228"/>
      <c r="E81" s="228"/>
      <c r="F81" s="229"/>
      <c r="G81" s="229"/>
      <c r="H81" s="229"/>
      <c r="I81" s="229"/>
    </row>
    <row r="82" spans="1:12">
      <c r="A82" s="230" t="s">
        <v>1041</v>
      </c>
      <c r="B82" s="224"/>
      <c r="C82" s="224"/>
      <c r="D82" s="224"/>
      <c r="E82" s="224"/>
      <c r="F82" s="224"/>
      <c r="G82" s="224"/>
      <c r="H82" s="224"/>
      <c r="I82" s="224"/>
    </row>
    <row r="83" spans="1:12">
      <c r="A83" s="32"/>
      <c r="B83" s="33"/>
      <c r="C83" s="33"/>
      <c r="D83" s="33"/>
      <c r="E83" s="33"/>
      <c r="F83" s="218"/>
      <c r="G83" s="218"/>
      <c r="H83" s="218"/>
      <c r="I83" s="218"/>
    </row>
    <row r="84" spans="1:12">
      <c r="A84" s="221" t="s">
        <v>202</v>
      </c>
      <c r="B84" s="222"/>
      <c r="C84" s="222"/>
      <c r="D84" s="222"/>
      <c r="E84" s="222"/>
      <c r="F84" s="222"/>
      <c r="G84" s="222"/>
      <c r="H84" s="222"/>
      <c r="I84" s="222"/>
    </row>
    <row r="85" spans="1:12">
      <c r="A85" s="20"/>
      <c r="B85" s="64"/>
      <c r="C85" s="64"/>
      <c r="D85" s="64"/>
      <c r="E85" s="231"/>
      <c r="F85" s="64"/>
      <c r="G85" s="64"/>
      <c r="H85" s="64"/>
      <c r="I85" s="64"/>
    </row>
    <row r="86" spans="1:12" ht="13.8">
      <c r="A86" s="30"/>
      <c r="B86" s="34" t="s">
        <v>203</v>
      </c>
      <c r="C86" s="64"/>
      <c r="D86" s="64"/>
      <c r="E86" s="64"/>
      <c r="F86" s="64"/>
      <c r="G86" s="64"/>
      <c r="H86" s="64"/>
      <c r="I86" s="64"/>
    </row>
    <row r="87" spans="1:12">
      <c r="A87" s="20"/>
      <c r="B87" s="64"/>
      <c r="C87" s="64"/>
      <c r="D87" s="64"/>
      <c r="E87" s="64"/>
      <c r="F87" s="64"/>
      <c r="G87" s="64"/>
      <c r="H87" s="64"/>
      <c r="I87" s="64"/>
    </row>
    <row r="88" spans="1:12" ht="12.75" customHeight="1">
      <c r="A88" s="35" t="s">
        <v>192</v>
      </c>
      <c r="B88" s="1002" t="s">
        <v>5</v>
      </c>
      <c r="C88" s="1004"/>
      <c r="D88" s="1025" t="s">
        <v>9</v>
      </c>
      <c r="E88" s="1025"/>
      <c r="F88" s="1037" t="s">
        <v>204</v>
      </c>
      <c r="G88" s="1037"/>
      <c r="H88" s="1037" t="s">
        <v>205</v>
      </c>
      <c r="I88" s="1037"/>
    </row>
    <row r="89" spans="1:12">
      <c r="A89" s="29">
        <v>1</v>
      </c>
      <c r="B89" s="1012" t="s">
        <v>194</v>
      </c>
      <c r="C89" s="1013"/>
      <c r="D89" s="1019">
        <f>+'todruulgaCash&gt;avlaga'!D86:E86/1000</f>
        <v>6566668.7738499995</v>
      </c>
      <c r="E89" s="1019"/>
      <c r="F89" s="1019">
        <f>+'todruulgaCash&gt;avlaga'!F86:G86/1000</f>
        <v>-1426163.6590499999</v>
      </c>
      <c r="G89" s="1019"/>
      <c r="H89" s="1019">
        <f>+'todruulgaCash&gt;avlaga'!H86:I86/1000</f>
        <v>9997356.686450012</v>
      </c>
      <c r="I89" s="1019"/>
      <c r="K89" s="214">
        <v>6566668773.8499994</v>
      </c>
    </row>
    <row r="90" spans="1:12">
      <c r="A90" s="82">
        <v>2</v>
      </c>
      <c r="B90" s="1009" t="s">
        <v>206</v>
      </c>
      <c r="C90" s="1010"/>
      <c r="D90" s="1011">
        <f>+'todruulgaCash&gt;avlaga'!D87:E87/1000</f>
        <v>143830487.30516401</v>
      </c>
      <c r="E90" s="1011"/>
      <c r="F90" s="1011">
        <f>+'todruulgaCash&gt;avlaga'!F87:G87/1000</f>
        <v>0</v>
      </c>
      <c r="G90" s="1011"/>
      <c r="H90" s="1011">
        <f>+'todruulgaCash&gt;avlaga'!H87:I87/1000</f>
        <v>143830487.30516401</v>
      </c>
      <c r="I90" s="1011"/>
    </row>
    <row r="91" spans="1:12">
      <c r="A91" s="82">
        <v>3</v>
      </c>
      <c r="B91" s="1009" t="s">
        <v>207</v>
      </c>
      <c r="C91" s="1010"/>
      <c r="D91" s="1011">
        <f>+'todruulgaCash&gt;avlaga'!D88:E88/1000</f>
        <v>138311337.62064001</v>
      </c>
      <c r="E91" s="1011"/>
      <c r="F91" s="1011">
        <f>+'todruulgaCash&gt;avlaga'!F88:G88/1000</f>
        <v>-39630.524240000006</v>
      </c>
      <c r="G91" s="1011"/>
      <c r="H91" s="1011">
        <f>+'todruulgaCash&gt;avlaga'!H88:I88/1000</f>
        <v>138271707.09640002</v>
      </c>
      <c r="I91" s="1011"/>
    </row>
    <row r="92" spans="1:12">
      <c r="A92" s="82">
        <v>4</v>
      </c>
      <c r="B92" s="1009" t="s">
        <v>208</v>
      </c>
      <c r="C92" s="1010"/>
      <c r="D92" s="1011"/>
      <c r="E92" s="1011"/>
      <c r="F92" s="1011">
        <v>0</v>
      </c>
      <c r="G92" s="1011"/>
      <c r="H92" s="1019"/>
      <c r="I92" s="1019"/>
    </row>
    <row r="93" spans="1:12">
      <c r="A93" s="82">
        <v>5</v>
      </c>
      <c r="B93" s="1009" t="s">
        <v>209</v>
      </c>
      <c r="C93" s="1010"/>
      <c r="D93" s="993">
        <v>0</v>
      </c>
      <c r="E93" s="994"/>
      <c r="F93" s="1011">
        <v>0</v>
      </c>
      <c r="G93" s="1011"/>
      <c r="H93" s="1011">
        <f>+D93+F93</f>
        <v>0</v>
      </c>
      <c r="I93" s="1011"/>
    </row>
    <row r="94" spans="1:12">
      <c r="A94" s="1015" t="s">
        <v>195</v>
      </c>
      <c r="B94" s="1016"/>
      <c r="C94" s="1017"/>
      <c r="D94" s="993">
        <f>+D89+D90-D91</f>
        <v>12085818.458373994</v>
      </c>
      <c r="E94" s="994"/>
      <c r="F94" s="993">
        <f>+F89+F90-F91</f>
        <v>-1386533.13481</v>
      </c>
      <c r="G94" s="994"/>
      <c r="H94" s="1019">
        <f>+D94+F94</f>
        <v>10699285.323563993</v>
      </c>
      <c r="I94" s="1019"/>
      <c r="K94" s="214">
        <f>+D89+D90-D91</f>
        <v>12085818.458373994</v>
      </c>
      <c r="L94" s="214">
        <f>+H89+H90-H91</f>
        <v>15556136.895213991</v>
      </c>
    </row>
    <row r="95" spans="1:12">
      <c r="A95" s="83"/>
      <c r="B95" s="232"/>
      <c r="C95" s="232"/>
      <c r="D95" s="232"/>
      <c r="E95" s="232"/>
      <c r="F95" s="232"/>
      <c r="G95" s="232"/>
      <c r="H95" s="1018">
        <f>+'todruulgaCash&gt;avlaga'!H92:I92/1000</f>
        <v>0</v>
      </c>
      <c r="I95" s="1018"/>
      <c r="J95" s="233"/>
      <c r="K95" s="214">
        <f>+K94-D94</f>
        <v>0</v>
      </c>
      <c r="L95" s="214">
        <f>+L94-H94</f>
        <v>4856851.5716499984</v>
      </c>
    </row>
    <row r="96" spans="1:12" ht="13.8">
      <c r="A96" s="84"/>
      <c r="B96" s="234" t="s">
        <v>210</v>
      </c>
      <c r="C96" s="235"/>
      <c r="D96" s="235"/>
      <c r="E96" s="235"/>
      <c r="F96" s="235"/>
      <c r="G96" s="232"/>
      <c r="H96" s="232"/>
      <c r="I96" s="232"/>
    </row>
    <row r="97" spans="1:11">
      <c r="A97" s="83"/>
      <c r="B97" s="232"/>
      <c r="C97" s="232"/>
      <c r="D97" s="232"/>
      <c r="E97" s="232"/>
      <c r="F97" s="232"/>
      <c r="G97" s="232"/>
      <c r="H97" s="232"/>
      <c r="I97" s="232"/>
    </row>
    <row r="98" spans="1:11">
      <c r="A98" s="76" t="s">
        <v>192</v>
      </c>
      <c r="B98" s="1007" t="s">
        <v>193</v>
      </c>
      <c r="C98" s="1007"/>
      <c r="D98" s="1007"/>
      <c r="E98" s="1007"/>
      <c r="F98" s="1007" t="s">
        <v>194</v>
      </c>
      <c r="G98" s="1007"/>
      <c r="H98" s="1007" t="s">
        <v>195</v>
      </c>
      <c r="I98" s="1007"/>
    </row>
    <row r="99" spans="1:11">
      <c r="A99" s="82">
        <v>1</v>
      </c>
      <c r="B99" s="1014" t="s">
        <v>211</v>
      </c>
      <c r="C99" s="1014"/>
      <c r="D99" s="1014"/>
      <c r="E99" s="1014"/>
      <c r="F99" s="1011"/>
      <c r="G99" s="1011"/>
      <c r="H99" s="1011"/>
      <c r="I99" s="1011"/>
    </row>
    <row r="100" spans="1:11">
      <c r="A100" s="82">
        <v>2</v>
      </c>
      <c r="B100" s="1014" t="s">
        <v>212</v>
      </c>
      <c r="C100" s="1014"/>
      <c r="D100" s="1014"/>
      <c r="E100" s="1014"/>
      <c r="F100" s="1011">
        <f>+'BL mn'!AB58/1000</f>
        <v>0</v>
      </c>
      <c r="G100" s="1011"/>
      <c r="H100" s="1011"/>
      <c r="I100" s="1011"/>
    </row>
    <row r="101" spans="1:11">
      <c r="A101" s="82">
        <v>3</v>
      </c>
      <c r="B101" s="1014" t="s">
        <v>660</v>
      </c>
      <c r="C101" s="1014"/>
      <c r="D101" s="1014"/>
      <c r="E101" s="1014"/>
      <c r="F101" s="1011"/>
      <c r="G101" s="1011"/>
      <c r="H101" s="1011">
        <f>+'BL mn'!N59/1000</f>
        <v>0</v>
      </c>
      <c r="I101" s="1011"/>
    </row>
    <row r="102" spans="1:11">
      <c r="A102" s="82">
        <v>4</v>
      </c>
      <c r="B102" s="1014" t="s">
        <v>213</v>
      </c>
      <c r="C102" s="1014"/>
      <c r="D102" s="1014"/>
      <c r="E102" s="1014"/>
      <c r="F102" s="1011">
        <f>+'todruulgaCash&gt;avlaga'!F99:G99/1000</f>
        <v>15050.01793</v>
      </c>
      <c r="G102" s="1011"/>
      <c r="H102" s="1011">
        <f>+'BL mn'!N60/1000</f>
        <v>18094.829750000001</v>
      </c>
      <c r="I102" s="1011"/>
    </row>
    <row r="103" spans="1:11">
      <c r="A103" s="1015" t="s">
        <v>199</v>
      </c>
      <c r="B103" s="1016"/>
      <c r="C103" s="1016"/>
      <c r="D103" s="1016"/>
      <c r="E103" s="1017"/>
      <c r="F103" s="1019">
        <f>+F102+F100</f>
        <v>15050.01793</v>
      </c>
      <c r="G103" s="1019"/>
      <c r="H103" s="1019">
        <f>SUM(H100:H102)</f>
        <v>18094.829750000001</v>
      </c>
      <c r="I103" s="1019"/>
      <c r="K103" s="214">
        <f>+H103-'BL mn'!N56/1000</f>
        <v>0</v>
      </c>
    </row>
    <row r="104" spans="1:11">
      <c r="A104" s="20"/>
      <c r="B104" s="64"/>
      <c r="C104" s="64"/>
      <c r="D104" s="64"/>
      <c r="E104" s="64"/>
      <c r="F104" s="64"/>
      <c r="G104" s="64"/>
      <c r="H104" s="64"/>
      <c r="I104" s="64"/>
    </row>
    <row r="105" spans="1:11" ht="13.8">
      <c r="A105" s="30"/>
      <c r="B105" s="236" t="s">
        <v>214</v>
      </c>
      <c r="C105" s="226"/>
      <c r="D105" s="226"/>
      <c r="E105" s="226"/>
      <c r="F105" s="226"/>
      <c r="G105" s="64"/>
      <c r="H105" s="64"/>
      <c r="I105" s="64"/>
    </row>
    <row r="106" spans="1:11">
      <c r="A106" s="20"/>
      <c r="B106" s="64"/>
      <c r="C106" s="64"/>
      <c r="D106" s="64"/>
      <c r="E106" s="64"/>
      <c r="F106" s="64"/>
      <c r="G106" s="64"/>
      <c r="H106" s="64"/>
      <c r="I106" s="64"/>
    </row>
    <row r="107" spans="1:11">
      <c r="A107" s="35" t="s">
        <v>192</v>
      </c>
      <c r="B107" s="1002" t="s">
        <v>215</v>
      </c>
      <c r="C107" s="1003"/>
      <c r="D107" s="1003"/>
      <c r="E107" s="1004"/>
      <c r="F107" s="1002" t="s">
        <v>194</v>
      </c>
      <c r="G107" s="1004"/>
      <c r="H107" s="1002" t="s">
        <v>195</v>
      </c>
      <c r="I107" s="1004"/>
    </row>
    <row r="108" spans="1:11">
      <c r="A108" s="29">
        <v>1</v>
      </c>
      <c r="B108" s="1020" t="s">
        <v>216</v>
      </c>
      <c r="C108" s="1021"/>
      <c r="D108" s="1021"/>
      <c r="E108" s="1022"/>
      <c r="F108" s="993">
        <f>+'todruulgaCash&gt;avlaga'!F105:G105/1000</f>
        <v>14002009.9</v>
      </c>
      <c r="G108" s="994"/>
      <c r="H108" s="993">
        <f>+'todruulgaCash&gt;avlaga'!H105:I105/1000</f>
        <v>8409.0910000000003</v>
      </c>
      <c r="I108" s="994"/>
    </row>
    <row r="109" spans="1:11">
      <c r="A109" s="29">
        <v>2</v>
      </c>
      <c r="B109" s="990" t="s">
        <v>217</v>
      </c>
      <c r="C109" s="991"/>
      <c r="D109" s="991"/>
      <c r="E109" s="992"/>
      <c r="F109" s="993">
        <f>+'todruulgaCash&gt;avlaga'!F106:G106/1000</f>
        <v>0</v>
      </c>
      <c r="G109" s="994"/>
      <c r="H109" s="993">
        <f>+'todruulgaCash&gt;avlaga'!H106:I106/1000</f>
        <v>0</v>
      </c>
      <c r="I109" s="994"/>
    </row>
    <row r="110" spans="1:11">
      <c r="A110" s="29">
        <v>3</v>
      </c>
      <c r="B110" s="990" t="s">
        <v>218</v>
      </c>
      <c r="C110" s="991"/>
      <c r="D110" s="991"/>
      <c r="E110" s="992"/>
      <c r="F110" s="993">
        <f>+'todruulgaCash&gt;avlaga'!F107:G107/1000</f>
        <v>0</v>
      </c>
      <c r="G110" s="994"/>
      <c r="H110" s="993">
        <f>+'todruulgaCash&gt;avlaga'!H107:I107/1000</f>
        <v>0</v>
      </c>
      <c r="I110" s="994"/>
    </row>
    <row r="111" spans="1:11">
      <c r="A111" s="29">
        <v>4</v>
      </c>
      <c r="B111" s="990" t="s">
        <v>219</v>
      </c>
      <c r="C111" s="991"/>
      <c r="D111" s="991"/>
      <c r="E111" s="992"/>
      <c r="F111" s="993">
        <f>+'todruulgaCash&gt;avlaga'!F108:G108/1000</f>
        <v>0</v>
      </c>
      <c r="G111" s="994"/>
      <c r="H111" s="993">
        <f>+'todruulgaCash&gt;avlaga'!H108:I108/1000</f>
        <v>0</v>
      </c>
      <c r="I111" s="994"/>
    </row>
    <row r="112" spans="1:11">
      <c r="A112" s="29">
        <v>5</v>
      </c>
      <c r="B112" s="990" t="s">
        <v>10</v>
      </c>
      <c r="C112" s="991"/>
      <c r="D112" s="991"/>
      <c r="E112" s="992"/>
      <c r="F112" s="993">
        <f>+'todruulgaCash&gt;avlaga'!F109:G109/1000</f>
        <v>379956.60000000091</v>
      </c>
      <c r="G112" s="994"/>
      <c r="H112" s="993">
        <f>+'todruulgaCash&gt;avlaga'!H109:I109/1000</f>
        <v>586304.52433999989</v>
      </c>
      <c r="I112" s="994"/>
    </row>
    <row r="113" spans="1:11">
      <c r="A113" s="29">
        <v>6</v>
      </c>
      <c r="B113" s="990" t="s">
        <v>220</v>
      </c>
      <c r="C113" s="991"/>
      <c r="D113" s="991"/>
      <c r="E113" s="992"/>
      <c r="F113" s="993">
        <f>+'todruulgaCash&gt;avlaga'!F110:G110/1000</f>
        <v>2292855.6236899998</v>
      </c>
      <c r="G113" s="994"/>
      <c r="H113" s="993">
        <f>+'todruulgaCash&gt;avlaga'!H110:I110/1000</f>
        <v>7931370.2082399996</v>
      </c>
      <c r="I113" s="994"/>
    </row>
    <row r="114" spans="1:11">
      <c r="A114" s="1002" t="s">
        <v>221</v>
      </c>
      <c r="B114" s="1003"/>
      <c r="C114" s="1003"/>
      <c r="D114" s="1003"/>
      <c r="E114" s="1004"/>
      <c r="F114" s="1005">
        <f>SUM(F108:G113)</f>
        <v>16674822.123690002</v>
      </c>
      <c r="G114" s="1006"/>
      <c r="H114" s="1005">
        <f>SUM(H108:I113)</f>
        <v>8526083.8235799987</v>
      </c>
      <c r="I114" s="1006"/>
      <c r="K114" s="214">
        <f>+H114+H103+H94</f>
        <v>19243463.976893991</v>
      </c>
    </row>
    <row r="115" spans="1:11">
      <c r="A115" s="20"/>
      <c r="B115" s="18"/>
      <c r="C115" s="18"/>
      <c r="D115" s="18"/>
      <c r="E115" s="18"/>
      <c r="F115" s="55"/>
      <c r="G115" s="237"/>
      <c r="H115" s="55"/>
      <c r="I115" s="237"/>
      <c r="K115" s="214">
        <f>+('BL mn'!N72-'BL mn'!N44-'BL mn'!N14-'BL mn'!N36)/1000</f>
        <v>19243463.976890016</v>
      </c>
    </row>
    <row r="116" spans="1:11">
      <c r="A116" s="1023" t="s">
        <v>222</v>
      </c>
      <c r="B116" s="1023"/>
      <c r="C116" s="1023"/>
      <c r="D116" s="1023"/>
      <c r="E116" s="1023"/>
      <c r="F116" s="1023"/>
      <c r="G116" s="1023"/>
      <c r="H116" s="1023"/>
      <c r="I116" s="1023"/>
      <c r="K116" s="214">
        <f>+K115-K114</f>
        <v>-3.9748847484588623E-6</v>
      </c>
    </row>
    <row r="117" spans="1:11">
      <c r="A117" s="1023"/>
      <c r="B117" s="1023"/>
      <c r="C117" s="1023"/>
      <c r="D117" s="1023"/>
      <c r="E117" s="1023"/>
      <c r="F117" s="1023"/>
      <c r="G117" s="1023"/>
      <c r="H117" s="1023"/>
      <c r="I117" s="1023"/>
    </row>
    <row r="118" spans="1:11">
      <c r="A118" s="1023"/>
      <c r="B118" s="1023"/>
      <c r="C118" s="1023"/>
      <c r="D118" s="1023"/>
      <c r="E118" s="1023"/>
      <c r="F118" s="1023"/>
      <c r="G118" s="1023"/>
      <c r="H118" s="1023"/>
      <c r="I118" s="1023"/>
    </row>
    <row r="119" spans="1:11">
      <c r="A119" s="1024"/>
      <c r="B119" s="1024"/>
      <c r="C119" s="1024"/>
      <c r="D119" s="1024"/>
      <c r="E119" s="1024"/>
      <c r="F119" s="1024"/>
      <c r="G119" s="1024"/>
      <c r="H119" s="1024"/>
      <c r="I119" s="1024"/>
    </row>
    <row r="120" spans="1:11">
      <c r="A120" s="238"/>
      <c r="B120" s="238"/>
      <c r="C120" s="238"/>
      <c r="D120" s="238"/>
      <c r="E120" s="238"/>
      <c r="F120" s="238"/>
      <c r="G120" s="238"/>
      <c r="H120" s="238"/>
      <c r="I120" s="238"/>
    </row>
    <row r="121" spans="1:11">
      <c r="A121" s="239" t="s">
        <v>223</v>
      </c>
      <c r="B121" s="240"/>
      <c r="C121" s="240"/>
      <c r="D121" s="240"/>
      <c r="E121" s="240"/>
      <c r="F121" s="240"/>
      <c r="G121" s="240"/>
      <c r="H121" s="240"/>
      <c r="I121" s="240"/>
    </row>
    <row r="122" spans="1:11">
      <c r="A122" s="42"/>
      <c r="B122" s="42"/>
      <c r="C122" s="42"/>
      <c r="D122" s="42"/>
      <c r="E122" s="42"/>
      <c r="F122" s="42"/>
      <c r="G122" s="42"/>
      <c r="H122" s="42"/>
      <c r="I122" s="42"/>
    </row>
    <row r="123" spans="1:11">
      <c r="A123" s="36" t="s">
        <v>79</v>
      </c>
      <c r="B123" s="1002" t="s">
        <v>193</v>
      </c>
      <c r="C123" s="1003"/>
      <c r="D123" s="1003"/>
      <c r="E123" s="1004"/>
      <c r="F123" s="1002" t="s">
        <v>194</v>
      </c>
      <c r="G123" s="1004"/>
      <c r="H123" s="1002" t="s">
        <v>195</v>
      </c>
      <c r="I123" s="1004"/>
    </row>
    <row r="124" spans="1:11">
      <c r="A124" s="44">
        <v>1</v>
      </c>
      <c r="B124" s="1002"/>
      <c r="C124" s="1003"/>
      <c r="D124" s="1003"/>
      <c r="E124" s="1004"/>
      <c r="F124" s="993">
        <v>0</v>
      </c>
      <c r="G124" s="994"/>
      <c r="H124" s="993">
        <v>0</v>
      </c>
      <c r="I124" s="994"/>
    </row>
    <row r="125" spans="1:11">
      <c r="A125" s="44">
        <v>2</v>
      </c>
      <c r="B125" s="1002"/>
      <c r="C125" s="1003"/>
      <c r="D125" s="1003"/>
      <c r="E125" s="1004"/>
      <c r="F125" s="993">
        <v>0</v>
      </c>
      <c r="G125" s="994"/>
      <c r="H125" s="993">
        <v>0</v>
      </c>
      <c r="I125" s="994"/>
    </row>
    <row r="126" spans="1:11">
      <c r="A126" s="1002" t="s">
        <v>82</v>
      </c>
      <c r="B126" s="1003"/>
      <c r="C126" s="1003"/>
      <c r="D126" s="1003"/>
      <c r="E126" s="1004"/>
      <c r="F126" s="1005">
        <f>SUM(F124:G125)</f>
        <v>0</v>
      </c>
      <c r="G126" s="1006"/>
      <c r="H126" s="1005">
        <f>SUM(H124:I125)</f>
        <v>0</v>
      </c>
      <c r="I126" s="1006"/>
    </row>
    <row r="127" spans="1:11">
      <c r="A127" s="20"/>
      <c r="B127" s="64"/>
      <c r="C127" s="64"/>
      <c r="D127" s="64"/>
      <c r="E127" s="64"/>
      <c r="F127" s="64"/>
      <c r="G127" s="64"/>
      <c r="H127" s="64"/>
      <c r="I127" s="64"/>
    </row>
    <row r="128" spans="1:11">
      <c r="A128" s="221" t="s">
        <v>224</v>
      </c>
      <c r="B128" s="222"/>
      <c r="C128" s="222"/>
      <c r="D128" s="222"/>
      <c r="E128" s="222"/>
      <c r="F128" s="222"/>
      <c r="G128" s="222"/>
      <c r="H128" s="222"/>
      <c r="I128" s="222"/>
    </row>
    <row r="129" spans="1:12">
      <c r="A129" s="42"/>
      <c r="B129" s="42"/>
      <c r="C129" s="42"/>
      <c r="D129" s="42"/>
      <c r="E129" s="42"/>
      <c r="F129" s="42"/>
      <c r="G129" s="42"/>
      <c r="H129" s="42"/>
      <c r="I129" s="42"/>
    </row>
    <row r="130" spans="1:12">
      <c r="A130" s="1031" t="s">
        <v>79</v>
      </c>
      <c r="B130" s="1031" t="s">
        <v>5</v>
      </c>
      <c r="C130" s="1002" t="s">
        <v>225</v>
      </c>
      <c r="D130" s="1003"/>
      <c r="E130" s="1003"/>
      <c r="F130" s="1003"/>
      <c r="G130" s="1003"/>
      <c r="H130" s="1004"/>
      <c r="I130" s="1031" t="s">
        <v>82</v>
      </c>
    </row>
    <row r="131" spans="1:12" ht="26.4">
      <c r="A131" s="1032"/>
      <c r="B131" s="1032"/>
      <c r="C131" s="27" t="s">
        <v>226</v>
      </c>
      <c r="D131" s="27" t="s">
        <v>227</v>
      </c>
      <c r="E131" s="27" t="s">
        <v>228</v>
      </c>
      <c r="F131" s="45" t="s">
        <v>229</v>
      </c>
      <c r="G131" s="27" t="s">
        <v>230</v>
      </c>
      <c r="H131" s="46" t="s">
        <v>231</v>
      </c>
      <c r="I131" s="1032"/>
    </row>
    <row r="132" spans="1:12" ht="38.25" customHeight="1">
      <c r="A132" s="29">
        <v>1</v>
      </c>
      <c r="B132" s="241" t="s">
        <v>232</v>
      </c>
      <c r="C132" s="242">
        <f>+'todruulgaCash&gt;avlaga'!C129/1000</f>
        <v>24892141.99439</v>
      </c>
      <c r="D132" s="242">
        <f>+'todruulgaCash&gt;avlaga'!D129/1000</f>
        <v>10131853.460590001</v>
      </c>
      <c r="E132" s="242">
        <f>+'todruulgaCash&gt;avlaga'!E129/1000</f>
        <v>17921326</v>
      </c>
      <c r="F132" s="242">
        <f>+'todruulgaCash&gt;avlaga'!F129/1000</f>
        <v>2319392.1</v>
      </c>
      <c r="G132" s="242">
        <f>+'todruulgaCash&gt;avlaga'!G129/1000</f>
        <v>2708150.8450199999</v>
      </c>
      <c r="H132" s="242">
        <f>+'todruulgaCash&gt;avlaga'!H129/1000</f>
        <v>0</v>
      </c>
      <c r="I132" s="242">
        <f>SUM(C132:H132)</f>
        <v>57972864.400000006</v>
      </c>
    </row>
    <row r="133" spans="1:12">
      <c r="A133" s="29">
        <v>2</v>
      </c>
      <c r="B133" s="58" t="s">
        <v>233</v>
      </c>
      <c r="C133" s="242">
        <f>+'todruulgaCash&gt;avlaga'!C130/1000</f>
        <v>63817678.637260005</v>
      </c>
      <c r="D133" s="242">
        <f>+'todruulgaCash&gt;avlaga'!D130/1000</f>
        <v>30638018.235309996</v>
      </c>
      <c r="E133" s="242">
        <f>+'todruulgaCash&gt;avlaga'!E130/1000</f>
        <v>77821389.193050012</v>
      </c>
      <c r="F133" s="242">
        <f>+'todruulgaCash&gt;avlaga'!F130/1000</f>
        <v>3412883.7486399994</v>
      </c>
      <c r="G133" s="242">
        <f>+'todruulgaCash&gt;avlaga'!G130/1000</f>
        <v>5752240.5865599997</v>
      </c>
      <c r="H133" s="242">
        <f>+'todruulgaCash&gt;avlaga'!H130/1000</f>
        <v>1133973.50599</v>
      </c>
      <c r="I133" s="242">
        <f>SUM(C133:H133)</f>
        <v>182576183.90681002</v>
      </c>
    </row>
    <row r="134" spans="1:12">
      <c r="A134" s="29">
        <v>3</v>
      </c>
      <c r="B134" s="58" t="s">
        <v>234</v>
      </c>
      <c r="C134" s="242">
        <f>+'todruulgaCash&gt;avlaga'!C131/1000</f>
        <v>46711002.477779999</v>
      </c>
      <c r="D134" s="242">
        <f>+'todruulgaCash&gt;avlaga'!D131/1000</f>
        <v>19350341.229740001</v>
      </c>
      <c r="E134" s="242">
        <f>+'todruulgaCash&gt;avlaga'!E131/1000</f>
        <v>70635091.715300009</v>
      </c>
      <c r="F134" s="242">
        <f>+'todruulgaCash&gt;avlaga'!F131/1000</f>
        <v>2105906.4643600001</v>
      </c>
      <c r="G134" s="242">
        <f>+'todruulgaCash&gt;avlaga'!G131/1000</f>
        <v>2479142.42246</v>
      </c>
      <c r="H134" s="242">
        <f>+'todruulgaCash&gt;avlaga'!H131/1000</f>
        <v>0</v>
      </c>
      <c r="I134" s="242">
        <f>SUM(C134:H134)</f>
        <v>141281484.30963999</v>
      </c>
    </row>
    <row r="135" spans="1:12" ht="26.4">
      <c r="A135" s="29">
        <v>4</v>
      </c>
      <c r="B135" s="241" t="s">
        <v>235</v>
      </c>
      <c r="C135" s="242">
        <f>+'todruulgaCash&gt;avlaga'!C132/1000</f>
        <v>41998818.153869994</v>
      </c>
      <c r="D135" s="242">
        <f>+'todruulgaCash&gt;avlaga'!D132/1000</f>
        <v>21419530.466159999</v>
      </c>
      <c r="E135" s="242">
        <f>+'todruulgaCash&gt;avlaga'!E132/1000</f>
        <v>25107623.477750015</v>
      </c>
      <c r="F135" s="242">
        <f>+'todruulgaCash&gt;avlaga'!F132/1000</f>
        <v>3626369.3842799999</v>
      </c>
      <c r="G135" s="242">
        <f>+'todruulgaCash&gt;avlaga'!G132/1000</f>
        <v>5981249.0091199996</v>
      </c>
      <c r="H135" s="242">
        <f>+'todruulgaCash&gt;avlaga'!H132/1000</f>
        <v>1133973.50599</v>
      </c>
      <c r="I135" s="242">
        <f t="shared" ref="I135" si="0">+I132+I133-I134</f>
        <v>99267563.997170031</v>
      </c>
    </row>
    <row r="136" spans="1:12" ht="26.4">
      <c r="A136" s="29">
        <v>5</v>
      </c>
      <c r="B136" s="241" t="s">
        <v>236</v>
      </c>
      <c r="C136" s="242">
        <f>+'todruulgaCash&gt;avlaga'!C133/1000</f>
        <v>0</v>
      </c>
      <c r="D136" s="242">
        <f>+'todruulgaCash&gt;avlaga'!D133/1000</f>
        <v>0</v>
      </c>
      <c r="E136" s="242">
        <f>+'todruulgaCash&gt;avlaga'!E133/1000</f>
        <v>112056.99609</v>
      </c>
      <c r="F136" s="242">
        <f>+'todruulgaCash&gt;avlaga'!F133/1000</f>
        <v>149512.22104</v>
      </c>
      <c r="G136" s="242">
        <f>+'todruulgaCash&gt;avlaga'!G133/1000</f>
        <v>474733.93812000001</v>
      </c>
      <c r="H136" s="242">
        <f>+'todruulgaCash&gt;avlaga'!H133/1000</f>
        <v>0</v>
      </c>
      <c r="I136" s="242">
        <f>SUM(C136:H136)</f>
        <v>736303.15525000007</v>
      </c>
    </row>
    <row r="137" spans="1:12" ht="26.4">
      <c r="A137" s="29">
        <v>6</v>
      </c>
      <c r="B137" s="241" t="s">
        <v>237</v>
      </c>
      <c r="C137" s="242">
        <f>+'todruulgaCash&gt;avlaga'!C134/1000</f>
        <v>0</v>
      </c>
      <c r="D137" s="242">
        <f>+'todruulgaCash&gt;avlaga'!D134/1000</f>
        <v>0</v>
      </c>
      <c r="E137" s="242">
        <f>+'todruulgaCash&gt;avlaga'!E134/1000</f>
        <v>0</v>
      </c>
      <c r="F137" s="242">
        <f>+'todruulgaCash&gt;avlaga'!F134/1000</f>
        <v>0</v>
      </c>
      <c r="G137" s="242">
        <f>+'todruulgaCash&gt;avlaga'!G134/1000</f>
        <v>0</v>
      </c>
      <c r="H137" s="242">
        <f>+'todruulgaCash&gt;avlaga'!H134/1000</f>
        <v>0</v>
      </c>
      <c r="I137" s="242">
        <f>SUM(C137:H137)</f>
        <v>0</v>
      </c>
    </row>
    <row r="138" spans="1:12">
      <c r="A138" s="29">
        <v>7</v>
      </c>
      <c r="B138" s="58" t="s">
        <v>238</v>
      </c>
      <c r="C138" s="242">
        <f>+'todruulgaCash&gt;avlaga'!C135/1000</f>
        <v>41998818.153869994</v>
      </c>
      <c r="D138" s="242">
        <f>+'todruulgaCash&gt;avlaga'!D135/1000</f>
        <v>21419530.466159999</v>
      </c>
      <c r="E138" s="242">
        <f>+'todruulgaCash&gt;avlaga'!E135/1000</f>
        <v>24995566.481660016</v>
      </c>
      <c r="F138" s="242">
        <f>+'todruulgaCash&gt;avlaga'!F135/1000</f>
        <v>3476857.1632399997</v>
      </c>
      <c r="G138" s="242">
        <f>+'todruulgaCash&gt;avlaga'!G135/1000</f>
        <v>5506515.0710000005</v>
      </c>
      <c r="H138" s="242">
        <f>+'todruulgaCash&gt;avlaga'!H135/1000</f>
        <v>1133973.50599</v>
      </c>
      <c r="I138" s="242">
        <f t="shared" ref="I138" si="1">+I135-I136+I137</f>
        <v>98531260.841920033</v>
      </c>
    </row>
    <row r="139" spans="1:12">
      <c r="A139" s="29">
        <v>7.1</v>
      </c>
      <c r="B139" s="58" t="s">
        <v>194</v>
      </c>
      <c r="C139" s="242">
        <f>+'todruulgaCash&gt;avlaga'!C136/1000</f>
        <v>24892141.99439</v>
      </c>
      <c r="D139" s="242">
        <f>+'todruulgaCash&gt;avlaga'!D136/1000</f>
        <v>10131853.460590001</v>
      </c>
      <c r="E139" s="242">
        <f>+'todruulgaCash&gt;avlaga'!E136/1000</f>
        <v>17921326</v>
      </c>
      <c r="F139" s="242">
        <f>+'todruulgaCash&gt;avlaga'!F136/1000</f>
        <v>2319392.1</v>
      </c>
      <c r="G139" s="242">
        <f>+'todruulgaCash&gt;avlaga'!G136/1000</f>
        <v>2708150.8450199999</v>
      </c>
      <c r="H139" s="242">
        <f>+'todruulgaCash&gt;avlaga'!H136/1000</f>
        <v>0</v>
      </c>
      <c r="I139" s="242">
        <f t="shared" ref="I139" si="2">+I132</f>
        <v>57972864.400000006</v>
      </c>
    </row>
    <row r="140" spans="1:12">
      <c r="A140" s="29">
        <v>7.2</v>
      </c>
      <c r="B140" s="58" t="s">
        <v>195</v>
      </c>
      <c r="C140" s="242">
        <f>+'todruulgaCash&gt;avlaga'!C137/1000</f>
        <v>41998818.153869994</v>
      </c>
      <c r="D140" s="242">
        <f>+'todruulgaCash&gt;avlaga'!D137/1000</f>
        <v>21419530.466159999</v>
      </c>
      <c r="E140" s="242">
        <f>+'todruulgaCash&gt;avlaga'!E137/1000</f>
        <v>24995566.481660016</v>
      </c>
      <c r="F140" s="242">
        <f>+'todruulgaCash&gt;avlaga'!F137/1000</f>
        <v>3476857.1632399997</v>
      </c>
      <c r="G140" s="242">
        <f>+'todruulgaCash&gt;avlaga'!G137/1000</f>
        <v>5506515.0710000005</v>
      </c>
      <c r="H140" s="242">
        <f>+'todruulgaCash&gt;avlaga'!H137/1000</f>
        <v>1133973.50599</v>
      </c>
      <c r="I140" s="242">
        <f>+'todruulgaCash&gt;avlaga'!I137/1000</f>
        <v>98531260.841920018</v>
      </c>
    </row>
    <row r="141" spans="1:12">
      <c r="A141" s="20"/>
      <c r="B141" s="64"/>
      <c r="C141" s="243">
        <f>+'todruulgaCash&gt;avlaga'!C138/1000</f>
        <v>41998818.153869271</v>
      </c>
      <c r="D141" s="243">
        <f>+'todruulgaCash&gt;avlaga'!D138/1000</f>
        <v>21419530.466155007</v>
      </c>
      <c r="E141" s="243">
        <f>+'todruulgaCash&gt;avlaga'!E138/1000</f>
        <v>24995566.481660001</v>
      </c>
      <c r="F141" s="243">
        <f>+'todruulgaCash&gt;avlaga'!F138/1000</f>
        <v>3476857.1632400015</v>
      </c>
      <c r="G141" s="243">
        <f>+'todruulgaCash&gt;avlaga'!G138/1000</f>
        <v>5506515.0710000005</v>
      </c>
      <c r="H141" s="243">
        <f>+'todruulgaCash&gt;avlaga'!H138/1000</f>
        <v>1133973.50599</v>
      </c>
      <c r="I141" s="243">
        <f>+'todruulgaCash&gt;avlaga'!I138/1000</f>
        <v>98531260.84192428</v>
      </c>
      <c r="K141" s="214">
        <f>+F141-F140</f>
        <v>0</v>
      </c>
      <c r="L141" s="214">
        <f>+I141-I140</f>
        <v>4.2617321014404297E-6</v>
      </c>
    </row>
    <row r="142" spans="1:12">
      <c r="A142" s="1023" t="s">
        <v>239</v>
      </c>
      <c r="B142" s="1023"/>
      <c r="C142" s="1023"/>
      <c r="D142" s="1023"/>
      <c r="E142" s="1023"/>
      <c r="F142" s="1023"/>
      <c r="G142" s="1023"/>
      <c r="H142" s="1023"/>
      <c r="I142" s="1023"/>
    </row>
    <row r="143" spans="1:12">
      <c r="A143" s="1023"/>
      <c r="B143" s="1023"/>
      <c r="C143" s="1023"/>
      <c r="D143" s="1023"/>
      <c r="E143" s="1023"/>
      <c r="F143" s="1023"/>
      <c r="G143" s="1023"/>
      <c r="H143" s="1023"/>
      <c r="I143" s="1023"/>
    </row>
    <row r="144" spans="1:12">
      <c r="A144" s="1023"/>
      <c r="B144" s="1023"/>
      <c r="C144" s="1023"/>
      <c r="D144" s="1023"/>
      <c r="E144" s="1023"/>
      <c r="F144" s="1023"/>
      <c r="G144" s="1023"/>
      <c r="H144" s="1023"/>
      <c r="I144" s="1023"/>
    </row>
    <row r="145" spans="1:9">
      <c r="A145" s="1023" t="s">
        <v>240</v>
      </c>
      <c r="B145" s="1023"/>
      <c r="C145" s="1023"/>
      <c r="D145" s="1023"/>
      <c r="E145" s="1023"/>
      <c r="F145" s="1023"/>
      <c r="G145" s="1023"/>
      <c r="H145" s="1023"/>
      <c r="I145" s="1023"/>
    </row>
    <row r="146" spans="1:9">
      <c r="A146" s="1023"/>
      <c r="B146" s="1023"/>
      <c r="C146" s="1023"/>
      <c r="D146" s="1023"/>
      <c r="E146" s="1023"/>
      <c r="F146" s="1023"/>
      <c r="G146" s="1023"/>
      <c r="H146" s="1023"/>
      <c r="I146" s="1023"/>
    </row>
    <row r="147" spans="1:9">
      <c r="A147" s="1029"/>
      <c r="B147" s="1029"/>
      <c r="C147" s="1029"/>
      <c r="D147" s="1029"/>
      <c r="E147" s="1029"/>
      <c r="F147" s="1029"/>
      <c r="G147" s="1029"/>
      <c r="H147" s="1029"/>
      <c r="I147" s="1029"/>
    </row>
    <row r="148" spans="1:9">
      <c r="A148" s="230" t="str">
        <f>+'todruulgaCash&gt;avlaga'!A145</f>
        <v xml:space="preserve">Бараа материалын өртөгийг тооцоолохдоо Дундаж өртөгийн арга ашигласан. Бараа материалын бүртгэл нь үнэ цэнийн бууралт тооцсон болон буцаах бичилт хийгдсэн. </v>
      </c>
      <c r="B148" s="224"/>
      <c r="C148" s="224"/>
      <c r="D148" s="224"/>
      <c r="E148" s="224"/>
      <c r="F148" s="224"/>
      <c r="G148" s="224"/>
      <c r="H148" s="224"/>
      <c r="I148" s="224"/>
    </row>
    <row r="149" spans="1:9">
      <c r="A149" s="20"/>
      <c r="B149" s="64"/>
      <c r="C149" s="64"/>
      <c r="D149" s="64"/>
      <c r="E149" s="64"/>
      <c r="F149" s="64"/>
      <c r="G149" s="64"/>
      <c r="H149" s="64"/>
      <c r="I149" s="64"/>
    </row>
    <row r="150" spans="1:9">
      <c r="A150" s="1030" t="s">
        <v>241</v>
      </c>
      <c r="B150" s="1030"/>
      <c r="C150" s="1030"/>
      <c r="D150" s="1030"/>
      <c r="E150" s="1030"/>
      <c r="F150" s="1030"/>
      <c r="G150" s="1030"/>
      <c r="H150" s="1030"/>
      <c r="I150" s="1030"/>
    </row>
    <row r="151" spans="1:9">
      <c r="A151" s="47"/>
      <c r="B151" s="47"/>
      <c r="C151" s="47"/>
      <c r="D151" s="47"/>
      <c r="E151" s="47"/>
      <c r="F151" s="47"/>
      <c r="G151" s="47"/>
      <c r="H151" s="47"/>
      <c r="I151" s="47"/>
    </row>
    <row r="152" spans="1:9">
      <c r="A152" s="1023" t="s">
        <v>242</v>
      </c>
      <c r="B152" s="1023"/>
      <c r="C152" s="1023"/>
      <c r="D152" s="1023"/>
      <c r="E152" s="1023"/>
      <c r="F152" s="1023"/>
      <c r="G152" s="1023"/>
      <c r="H152" s="1023"/>
      <c r="I152" s="1023"/>
    </row>
    <row r="153" spans="1:9">
      <c r="A153" s="1023"/>
      <c r="B153" s="1023"/>
      <c r="C153" s="1023"/>
      <c r="D153" s="1023"/>
      <c r="E153" s="1023"/>
      <c r="F153" s="1023"/>
      <c r="G153" s="1023"/>
      <c r="H153" s="1023"/>
      <c r="I153" s="1023"/>
    </row>
    <row r="154" spans="1:9">
      <c r="A154" s="244"/>
      <c r="B154" s="224"/>
      <c r="C154" s="224" t="str">
        <f>+'todruulgaCash&gt;avlaga'!C151</f>
        <v>Борлуулах зорилгоор эзэмшиж буй  хөрөнгө болон өр төлбөр байхгүй</v>
      </c>
      <c r="D154" s="224"/>
      <c r="E154" s="224"/>
      <c r="F154" s="224"/>
      <c r="G154" s="224"/>
      <c r="H154" s="224"/>
      <c r="I154" s="224"/>
    </row>
    <row r="155" spans="1:9">
      <c r="A155" s="20"/>
      <c r="B155" s="64"/>
      <c r="C155" s="64"/>
      <c r="D155" s="64"/>
      <c r="E155" s="64"/>
      <c r="F155" s="64"/>
      <c r="G155" s="64"/>
      <c r="H155" s="64"/>
      <c r="I155" s="64"/>
    </row>
    <row r="156" spans="1:9">
      <c r="A156" s="221" t="s">
        <v>243</v>
      </c>
      <c r="B156" s="222"/>
      <c r="C156" s="222"/>
      <c r="D156" s="222"/>
      <c r="E156" s="222"/>
      <c r="F156" s="222"/>
      <c r="G156" s="222"/>
      <c r="H156" s="222"/>
      <c r="I156" s="222"/>
    </row>
    <row r="157" spans="1:9">
      <c r="A157" s="20"/>
      <c r="B157" s="64"/>
      <c r="C157" s="64"/>
      <c r="D157" s="64"/>
      <c r="E157" s="64"/>
      <c r="F157" s="64"/>
      <c r="G157" s="64"/>
      <c r="H157" s="64"/>
      <c r="I157" s="64"/>
    </row>
    <row r="158" spans="1:9">
      <c r="A158" s="35" t="s">
        <v>192</v>
      </c>
      <c r="B158" s="1025" t="s">
        <v>193</v>
      </c>
      <c r="C158" s="1025"/>
      <c r="D158" s="1025"/>
      <c r="E158" s="1025" t="s">
        <v>194</v>
      </c>
      <c r="F158" s="1025"/>
      <c r="G158" s="1025" t="s">
        <v>195</v>
      </c>
      <c r="H158" s="1025"/>
      <c r="I158" s="20"/>
    </row>
    <row r="159" spans="1:9">
      <c r="A159" s="29">
        <v>1</v>
      </c>
      <c r="B159" s="1026" t="s">
        <v>244</v>
      </c>
      <c r="C159" s="1026"/>
      <c r="D159" s="1026"/>
      <c r="E159" s="1027">
        <v>910274.90599999996</v>
      </c>
      <c r="F159" s="1027"/>
      <c r="G159" s="1027">
        <f>+'todruulgaCash&gt;avlaga'!G156:H156/1000</f>
        <v>2374430.70946</v>
      </c>
      <c r="H159" s="1027"/>
      <c r="I159" s="64"/>
    </row>
    <row r="160" spans="1:9">
      <c r="A160" s="29">
        <v>2</v>
      </c>
      <c r="B160" s="1026" t="s">
        <v>245</v>
      </c>
      <c r="C160" s="1026"/>
      <c r="D160" s="1026"/>
      <c r="E160" s="1027"/>
      <c r="F160" s="1027"/>
      <c r="G160" s="1027"/>
      <c r="H160" s="1027"/>
      <c r="I160" s="64"/>
    </row>
    <row r="161" spans="1:11">
      <c r="A161" s="29">
        <v>3</v>
      </c>
      <c r="B161" s="1028" t="s">
        <v>246</v>
      </c>
      <c r="C161" s="1028"/>
      <c r="D161" s="1028"/>
      <c r="E161" s="1027"/>
      <c r="F161" s="1027"/>
      <c r="G161" s="1027"/>
      <c r="H161" s="1027"/>
      <c r="I161" s="64"/>
    </row>
    <row r="162" spans="1:11">
      <c r="A162" s="1025" t="s">
        <v>82</v>
      </c>
      <c r="B162" s="1025"/>
      <c r="C162" s="1025"/>
      <c r="D162" s="1025"/>
      <c r="E162" s="1019">
        <f>SUM(E159:F161)</f>
        <v>910274.90599999996</v>
      </c>
      <c r="F162" s="1019"/>
      <c r="G162" s="1019">
        <f>SUM(G159:H161)</f>
        <v>2374430.70946</v>
      </c>
      <c r="H162" s="1019"/>
      <c r="I162" s="218"/>
      <c r="K162" s="214">
        <f>+G162+I140+H114+H103+H94+H80</f>
        <v>125731831.56691402</v>
      </c>
    </row>
    <row r="163" spans="1:11">
      <c r="K163" s="214">
        <f>+balance!D19/1000</f>
        <v>143481089.51978976</v>
      </c>
    </row>
    <row r="164" spans="1:11">
      <c r="K164" s="214">
        <f>+K163-K162</f>
        <v>17749257.952875733</v>
      </c>
    </row>
  </sheetData>
  <mergeCells count="129">
    <mergeCell ref="A162:D162"/>
    <mergeCell ref="E162:F162"/>
    <mergeCell ref="G162:H162"/>
    <mergeCell ref="B160:D160"/>
    <mergeCell ref="E160:F160"/>
    <mergeCell ref="G160:H160"/>
    <mergeCell ref="B161:D161"/>
    <mergeCell ref="E161:F161"/>
    <mergeCell ref="G161:H161"/>
    <mergeCell ref="A150:I150"/>
    <mergeCell ref="A152:I153"/>
    <mergeCell ref="B158:D158"/>
    <mergeCell ref="E158:F158"/>
    <mergeCell ref="G158:H158"/>
    <mergeCell ref="B159:D159"/>
    <mergeCell ref="E159:F159"/>
    <mergeCell ref="G159:H159"/>
    <mergeCell ref="A130:A131"/>
    <mergeCell ref="B130:B131"/>
    <mergeCell ref="C130:H130"/>
    <mergeCell ref="I130:I131"/>
    <mergeCell ref="A142:I144"/>
    <mergeCell ref="A145:I147"/>
    <mergeCell ref="B125:E125"/>
    <mergeCell ref="F125:G125"/>
    <mergeCell ref="H125:I125"/>
    <mergeCell ref="A126:E126"/>
    <mergeCell ref="F126:G126"/>
    <mergeCell ref="H126:I126"/>
    <mergeCell ref="A116:I119"/>
    <mergeCell ref="B123:E123"/>
    <mergeCell ref="F123:G123"/>
    <mergeCell ref="H123:I123"/>
    <mergeCell ref="B124:E124"/>
    <mergeCell ref="F124:G124"/>
    <mergeCell ref="H124:I124"/>
    <mergeCell ref="B113:E113"/>
    <mergeCell ref="F113:G113"/>
    <mergeCell ref="H113:I113"/>
    <mergeCell ref="A114:E114"/>
    <mergeCell ref="F114:G114"/>
    <mergeCell ref="H114:I114"/>
    <mergeCell ref="B111:E111"/>
    <mergeCell ref="F111:G111"/>
    <mergeCell ref="H111:I111"/>
    <mergeCell ref="B112:E112"/>
    <mergeCell ref="F112:G112"/>
    <mergeCell ref="H112:I112"/>
    <mergeCell ref="B109:E109"/>
    <mergeCell ref="F109:G109"/>
    <mergeCell ref="H109:I109"/>
    <mergeCell ref="B110:E110"/>
    <mergeCell ref="F110:G110"/>
    <mergeCell ref="H110:I110"/>
    <mergeCell ref="B107:E107"/>
    <mergeCell ref="F107:G107"/>
    <mergeCell ref="H107:I107"/>
    <mergeCell ref="B108:E108"/>
    <mergeCell ref="F108:G108"/>
    <mergeCell ref="H108:I108"/>
    <mergeCell ref="B102:E102"/>
    <mergeCell ref="F102:G102"/>
    <mergeCell ref="H102:I102"/>
    <mergeCell ref="A103:E103"/>
    <mergeCell ref="F103:G103"/>
    <mergeCell ref="H103:I103"/>
    <mergeCell ref="B100:E100"/>
    <mergeCell ref="F100:G100"/>
    <mergeCell ref="H100:I100"/>
    <mergeCell ref="B101:E101"/>
    <mergeCell ref="F101:G101"/>
    <mergeCell ref="H101:I101"/>
    <mergeCell ref="H95:I95"/>
    <mergeCell ref="B98:E98"/>
    <mergeCell ref="F98:G98"/>
    <mergeCell ref="H98:I98"/>
    <mergeCell ref="B99:E99"/>
    <mergeCell ref="F99:G99"/>
    <mergeCell ref="H99:I99"/>
    <mergeCell ref="B93:C93"/>
    <mergeCell ref="D93:E93"/>
    <mergeCell ref="F93:G93"/>
    <mergeCell ref="H93:I93"/>
    <mergeCell ref="A94:C94"/>
    <mergeCell ref="D94:E94"/>
    <mergeCell ref="F94:G94"/>
    <mergeCell ref="H94:I94"/>
    <mergeCell ref="B91:C91"/>
    <mergeCell ref="D91:E91"/>
    <mergeCell ref="F91:G91"/>
    <mergeCell ref="H91:I91"/>
    <mergeCell ref="B92:C92"/>
    <mergeCell ref="D92:E92"/>
    <mergeCell ref="F92:G92"/>
    <mergeCell ref="H92:I92"/>
    <mergeCell ref="B89:C89"/>
    <mergeCell ref="D89:E89"/>
    <mergeCell ref="F89:G89"/>
    <mergeCell ref="H89:I89"/>
    <mergeCell ref="B90:C90"/>
    <mergeCell ref="D90:E90"/>
    <mergeCell ref="F90:G90"/>
    <mergeCell ref="H90:I90"/>
    <mergeCell ref="A80:E80"/>
    <mergeCell ref="F80:G80"/>
    <mergeCell ref="H80:I80"/>
    <mergeCell ref="B88:C88"/>
    <mergeCell ref="D88:E88"/>
    <mergeCell ref="F88:G88"/>
    <mergeCell ref="H88:I88"/>
    <mergeCell ref="B78:E78"/>
    <mergeCell ref="F78:G78"/>
    <mergeCell ref="H78:I78"/>
    <mergeCell ref="B79:E79"/>
    <mergeCell ref="F79:G79"/>
    <mergeCell ref="H79:I79"/>
    <mergeCell ref="A51:B51"/>
    <mergeCell ref="B76:E76"/>
    <mergeCell ref="F76:G76"/>
    <mergeCell ref="H76:I76"/>
    <mergeCell ref="B77:E77"/>
    <mergeCell ref="F77:G77"/>
    <mergeCell ref="H77:I77"/>
    <mergeCell ref="A1:I2"/>
    <mergeCell ref="A3:D3"/>
    <mergeCell ref="A4:D4"/>
    <mergeCell ref="C8:G8"/>
    <mergeCell ref="C9:G9"/>
    <mergeCell ref="A25:I26"/>
  </mergeCells>
  <pageMargins left="0.7" right="0.16" top="0.36" bottom="0.33" header="0.3" footer="0.31"/>
  <pageSetup paperSize="9"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206"/>
  <sheetViews>
    <sheetView topLeftCell="B144" workbookViewId="0">
      <selection activeCell="B5" sqref="B5:C5"/>
    </sheetView>
  </sheetViews>
  <sheetFormatPr defaultColWidth="9.109375" defaultRowHeight="13.2" outlineLevelRow="1" outlineLevelCol="1"/>
  <cols>
    <col min="1" max="1" width="9.109375" style="85" hidden="1" customWidth="1"/>
    <col min="2" max="2" width="34" style="85" customWidth="1" collapsed="1"/>
    <col min="3" max="3" width="16.33203125" style="102" hidden="1" customWidth="1" outlineLevel="1"/>
    <col min="4" max="4" width="16.44140625" style="102" hidden="1" customWidth="1" outlineLevel="1"/>
    <col min="5" max="5" width="18.44140625" style="102" hidden="1" customWidth="1" outlineLevel="1"/>
    <col min="6" max="6" width="17.88671875" style="85" hidden="1" customWidth="1" outlineLevel="1"/>
    <col min="7" max="7" width="17.44140625" style="85" hidden="1" customWidth="1" outlineLevel="1"/>
    <col min="8" max="8" width="16.6640625" style="102" hidden="1" customWidth="1" outlineLevel="1"/>
    <col min="9" max="9" width="15.5546875" style="102" hidden="1" customWidth="1" outlineLevel="1"/>
    <col min="10" max="10" width="15.6640625" style="85" hidden="1" customWidth="1" outlineLevel="1"/>
    <col min="11" max="11" width="15.5546875" style="102" hidden="1" customWidth="1" outlineLevel="1"/>
    <col min="12" max="12" width="15.6640625" style="102" hidden="1" customWidth="1" outlineLevel="1"/>
    <col min="13" max="13" width="16.88671875" style="102" hidden="1" customWidth="1" outlineLevel="1"/>
    <col min="14" max="14" width="18.33203125" style="102" customWidth="1" outlineLevel="1"/>
    <col min="15" max="15" width="10" style="102" hidden="1" customWidth="1" outlineLevel="1"/>
    <col min="16" max="16" width="3.6640625" style="89" customWidth="1"/>
    <col min="17" max="17" width="16.33203125" style="102" hidden="1" customWidth="1" outlineLevel="1"/>
    <col min="18" max="18" width="16.44140625" style="102" hidden="1" customWidth="1" outlineLevel="1"/>
    <col min="19" max="19" width="18.44140625" style="102" hidden="1" customWidth="1" outlineLevel="1"/>
    <col min="20" max="20" width="17.88671875" style="85" hidden="1" customWidth="1" outlineLevel="1"/>
    <col min="21" max="22" width="15.6640625" style="85" hidden="1" customWidth="1" outlineLevel="1"/>
    <col min="23" max="23" width="15.5546875" style="85" hidden="1" customWidth="1" outlineLevel="1"/>
    <col min="24" max="24" width="15.6640625" style="85" hidden="1" customWidth="1" outlineLevel="1"/>
    <col min="25" max="25" width="15.5546875" style="85" hidden="1" customWidth="1" outlineLevel="1"/>
    <col min="26" max="26" width="15.6640625" style="85" hidden="1" customWidth="1" outlineLevel="1"/>
    <col min="27" max="27" width="15.44140625" style="102" hidden="1" customWidth="1" outlineLevel="1"/>
    <col min="28" max="28" width="16" style="102" bestFit="1" customWidth="1" outlineLevel="1"/>
    <col min="29" max="29" width="10" style="85" hidden="1" customWidth="1" outlineLevel="1"/>
    <col min="30" max="30" width="18" style="89" bestFit="1" customWidth="1"/>
    <col min="31" max="31" width="17.6640625" style="90" bestFit="1" customWidth="1"/>
    <col min="32" max="32" width="14.6640625" style="425" customWidth="1"/>
    <col min="33" max="33" width="9.109375" style="91"/>
    <col min="34" max="34" width="15" style="91" bestFit="1" customWidth="1"/>
    <col min="35" max="35" width="14" style="91" bestFit="1" customWidth="1"/>
    <col min="36" max="41" width="9.109375" style="91"/>
    <col min="42" max="43" width="9.109375" style="85"/>
    <col min="44" max="60" width="9.109375" style="92"/>
    <col min="61" max="16384" width="9.109375" style="85"/>
  </cols>
  <sheetData>
    <row r="1" spans="1:92" ht="10.5" customHeight="1">
      <c r="B1" s="86"/>
      <c r="C1" s="87"/>
      <c r="D1" s="88"/>
      <c r="E1" s="88"/>
      <c r="F1" s="88"/>
      <c r="G1" s="86"/>
      <c r="H1" s="87"/>
      <c r="I1" s="87"/>
      <c r="J1" s="86"/>
      <c r="K1" s="87"/>
      <c r="L1" s="87"/>
      <c r="M1" s="87"/>
      <c r="N1" s="87"/>
      <c r="O1" s="87"/>
      <c r="Q1" s="87"/>
      <c r="R1" s="88"/>
      <c r="S1" s="88"/>
      <c r="T1" s="88"/>
      <c r="U1" s="86"/>
      <c r="V1" s="86"/>
      <c r="W1" s="86"/>
      <c r="X1" s="86"/>
      <c r="Y1" s="86"/>
      <c r="Z1" s="86"/>
      <c r="AA1" s="87"/>
      <c r="AB1" s="87"/>
      <c r="AC1" s="86"/>
    </row>
    <row r="2" spans="1:92" s="92" customFormat="1" ht="10.5" customHeight="1">
      <c r="C2" s="93"/>
      <c r="D2" s="94"/>
      <c r="E2" s="94"/>
      <c r="F2" s="94"/>
      <c r="H2" s="93"/>
      <c r="I2" s="95"/>
      <c r="K2" s="93"/>
      <c r="L2" s="93"/>
      <c r="M2" s="96"/>
      <c r="N2" s="93"/>
      <c r="O2" s="93"/>
      <c r="P2" s="94"/>
      <c r="Q2" s="93"/>
      <c r="R2" s="94"/>
      <c r="S2" s="94"/>
      <c r="T2" s="94"/>
      <c r="W2" s="95"/>
      <c r="AA2" s="93"/>
      <c r="AB2" s="93"/>
      <c r="AD2" s="94"/>
      <c r="AE2" s="97"/>
      <c r="AF2" s="97"/>
      <c r="CN2" s="92" t="s">
        <v>502</v>
      </c>
    </row>
    <row r="3" spans="1:92" ht="10.5" customHeight="1">
      <c r="B3" s="98" t="s">
        <v>503</v>
      </c>
      <c r="C3" s="99"/>
      <c r="D3" s="100"/>
      <c r="E3" s="100"/>
      <c r="F3" s="100"/>
      <c r="G3" s="100"/>
      <c r="H3" s="99"/>
      <c r="I3" s="95"/>
      <c r="J3" s="98"/>
      <c r="K3" s="99"/>
      <c r="L3" s="99"/>
      <c r="M3" s="99"/>
      <c r="N3" s="99"/>
      <c r="O3" s="99"/>
      <c r="Q3" s="99"/>
      <c r="R3" s="100"/>
      <c r="S3" s="100"/>
      <c r="T3" s="100"/>
      <c r="U3" s="100"/>
      <c r="V3" s="98"/>
      <c r="W3" s="95"/>
      <c r="X3" s="98"/>
      <c r="Y3" s="98"/>
      <c r="Z3" s="98"/>
      <c r="AA3" s="99"/>
      <c r="AB3" s="99"/>
      <c r="AC3" s="98"/>
      <c r="CN3" s="85" t="s">
        <v>504</v>
      </c>
    </row>
    <row r="4" spans="1:92" ht="10.5" customHeight="1">
      <c r="B4" s="101"/>
      <c r="F4" s="101"/>
      <c r="G4" s="101"/>
      <c r="J4" s="101"/>
      <c r="T4" s="101"/>
      <c r="U4" s="101"/>
      <c r="V4" s="101"/>
      <c r="W4" s="101"/>
      <c r="X4" s="101"/>
      <c r="Y4" s="101"/>
      <c r="Z4" s="101"/>
      <c r="AC4" s="101"/>
    </row>
    <row r="5" spans="1:92" ht="10.5" customHeight="1">
      <c r="B5" s="101" t="s">
        <v>505</v>
      </c>
      <c r="C5" s="103" t="b">
        <f>C26=[1]intercompany!X15</f>
        <v>1</v>
      </c>
      <c r="D5" s="103" t="b">
        <f>D26=[1]intercompany!G43</f>
        <v>0</v>
      </c>
      <c r="E5" s="103" t="b">
        <f>E26=[1]intercompany!G71</f>
        <v>0</v>
      </c>
      <c r="F5" s="104" t="b">
        <f>F26=[1]intercompany!G99</f>
        <v>0</v>
      </c>
      <c r="G5" s="104" t="b">
        <f>H26=[1]intercompany!G127</f>
        <v>0</v>
      </c>
      <c r="H5" s="103" t="b">
        <f>I26=[1]intercompany!H127</f>
        <v>0</v>
      </c>
      <c r="I5" s="103" t="b">
        <v>0</v>
      </c>
      <c r="J5" s="104" t="b">
        <f>J26=[1]intercompany!G211</f>
        <v>0</v>
      </c>
      <c r="K5" s="103" t="b">
        <v>0</v>
      </c>
      <c r="L5" s="103" t="b">
        <f>L26=[1]intercompany!G267</f>
        <v>0</v>
      </c>
      <c r="M5" s="103" t="b">
        <f>M26=[1]intercompany!G295</f>
        <v>0</v>
      </c>
      <c r="N5" s="103" t="b">
        <f>N26=[1]intercompany!G323</f>
        <v>0</v>
      </c>
      <c r="Q5" s="103"/>
      <c r="R5" s="103"/>
      <c r="S5" s="103"/>
      <c r="T5" s="104"/>
      <c r="U5" s="104"/>
      <c r="V5" s="104"/>
      <c r="W5" s="104"/>
      <c r="X5" s="104"/>
      <c r="Y5" s="104"/>
      <c r="Z5" s="104"/>
      <c r="AA5" s="103"/>
      <c r="AB5" s="103"/>
      <c r="AC5" s="101"/>
    </row>
    <row r="6" spans="1:92" ht="10.5" customHeight="1">
      <c r="B6" s="101" t="s">
        <v>506</v>
      </c>
      <c r="C6" s="103" t="b">
        <f>C120=[1]intercompany!X26</f>
        <v>1</v>
      </c>
      <c r="D6" s="103" t="b">
        <f>D120=[1]intercompany!G54</f>
        <v>1</v>
      </c>
      <c r="E6" s="103" t="b">
        <f>E120=[1]intercompany!G82</f>
        <v>0</v>
      </c>
      <c r="F6" s="104" t="b">
        <f>F120=[1]intercompany!G110</f>
        <v>0</v>
      </c>
      <c r="G6" s="104" t="b">
        <f>H120=[1]intercompany!G138</f>
        <v>0</v>
      </c>
      <c r="H6" s="103" t="b">
        <f>I120=[1]intercompany!H138</f>
        <v>0</v>
      </c>
      <c r="I6" s="103" t="b">
        <v>0</v>
      </c>
      <c r="J6" s="104" t="b">
        <f>J120=[1]intercompany!G222</f>
        <v>0</v>
      </c>
      <c r="K6" s="103" t="b">
        <v>0</v>
      </c>
      <c r="L6" s="103" t="b">
        <f>L120=[1]intercompany!G278</f>
        <v>1</v>
      </c>
      <c r="M6" s="103" t="b">
        <f>M120=[1]intercompany!G306</f>
        <v>0</v>
      </c>
      <c r="N6" s="103" t="b">
        <f>N120=[1]intercompany!G334</f>
        <v>1</v>
      </c>
      <c r="Q6" s="103"/>
      <c r="R6" s="103"/>
      <c r="S6" s="103"/>
      <c r="T6" s="104"/>
      <c r="U6" s="104"/>
      <c r="V6" s="104"/>
      <c r="W6" s="104"/>
      <c r="X6" s="104"/>
      <c r="Y6" s="104"/>
      <c r="Z6" s="104"/>
      <c r="AA6" s="103"/>
      <c r="AB6" s="103"/>
      <c r="AC6" s="101"/>
    </row>
    <row r="7" spans="1:92" ht="10.5" customHeight="1">
      <c r="B7" s="105" t="s">
        <v>507</v>
      </c>
      <c r="C7" s="103" t="b">
        <f>C32='[1]related party'!L13</f>
        <v>1</v>
      </c>
      <c r="D7" s="103" t="b">
        <f>D32='[1]related party'!F36</f>
        <v>0</v>
      </c>
      <c r="E7" s="103" t="b">
        <f>E32='[1]related party'!F59</f>
        <v>0</v>
      </c>
      <c r="F7" s="103" t="b">
        <f>F32='[1]related party'!F79</f>
        <v>0</v>
      </c>
      <c r="G7" s="103" t="b">
        <f>H32='[1]related party'!F105</f>
        <v>0</v>
      </c>
      <c r="H7" s="103" t="b">
        <f>I32='[1]related party'!G105</f>
        <v>0</v>
      </c>
      <c r="I7" s="103" t="b">
        <v>0</v>
      </c>
      <c r="J7" s="103" t="b">
        <f>J32='[1]related party'!F174</f>
        <v>0</v>
      </c>
      <c r="K7" s="103" t="b">
        <v>0</v>
      </c>
      <c r="L7" s="103" t="b">
        <f>L32='[1]related party'!F220</f>
        <v>0</v>
      </c>
      <c r="M7" s="103" t="b">
        <f>M32='[1]related party'!F243</f>
        <v>0</v>
      </c>
      <c r="N7" s="103" t="b">
        <f>N32='[1]related party'!F266</f>
        <v>0</v>
      </c>
      <c r="O7" s="106"/>
      <c r="Q7" s="103"/>
      <c r="R7" s="103"/>
      <c r="S7" s="103"/>
      <c r="T7" s="103"/>
      <c r="U7" s="103"/>
      <c r="V7" s="103"/>
      <c r="W7" s="103"/>
      <c r="X7" s="103"/>
      <c r="Y7" s="103"/>
      <c r="Z7" s="103"/>
      <c r="AA7" s="103"/>
      <c r="AB7" s="103"/>
      <c r="AC7" s="105"/>
    </row>
    <row r="8" spans="1:92" ht="10.5" customHeight="1">
      <c r="B8" s="105" t="s">
        <v>508</v>
      </c>
      <c r="C8" s="103" t="b">
        <f>C126='[1]related party'!F22</f>
        <v>1</v>
      </c>
      <c r="D8" s="103" t="b">
        <f>D126='[1]related party'!F45</f>
        <v>1</v>
      </c>
      <c r="E8" s="103" t="b">
        <f>E126='[1]related party'!F68</f>
        <v>1</v>
      </c>
      <c r="F8" s="103" t="b">
        <f>F126='[1]related party'!F91</f>
        <v>1</v>
      </c>
      <c r="G8" s="103" t="b">
        <f>H126='[1]related party'!F114</f>
        <v>0</v>
      </c>
      <c r="H8" s="103" t="b">
        <f>I126='[1]related party'!G114</f>
        <v>0</v>
      </c>
      <c r="I8" s="103" t="b">
        <v>0</v>
      </c>
      <c r="J8" s="103" t="b">
        <f>J126='[1]related party'!F183</f>
        <v>0</v>
      </c>
      <c r="K8" s="103" t="b">
        <v>1</v>
      </c>
      <c r="L8" s="103" t="b">
        <f>L126='[1]related party'!F229</f>
        <v>1</v>
      </c>
      <c r="M8" s="103" t="b">
        <f>M126='[1]related party'!F252</f>
        <v>1</v>
      </c>
      <c r="N8" s="103" t="b">
        <f>N126='[1]related party'!F275</f>
        <v>1</v>
      </c>
      <c r="O8" s="107"/>
      <c r="Q8" s="103"/>
      <c r="R8" s="103"/>
      <c r="S8" s="103"/>
      <c r="T8" s="103"/>
      <c r="U8" s="103"/>
      <c r="V8" s="103"/>
      <c r="W8" s="103"/>
      <c r="X8" s="103"/>
      <c r="Y8" s="103"/>
      <c r="Z8" s="103"/>
      <c r="AA8" s="103"/>
      <c r="AB8" s="103"/>
      <c r="AC8" s="108"/>
    </row>
    <row r="9" spans="1:92" s="111" customFormat="1" ht="7.5" customHeight="1">
      <c r="A9" s="109" t="s">
        <v>509</v>
      </c>
      <c r="B9" s="938" t="s">
        <v>510</v>
      </c>
      <c r="C9" s="941">
        <v>2017</v>
      </c>
      <c r="D9" s="942"/>
      <c r="E9" s="942"/>
      <c r="F9" s="942"/>
      <c r="G9" s="942"/>
      <c r="H9" s="942"/>
      <c r="I9" s="942"/>
      <c r="J9" s="942"/>
      <c r="K9" s="942"/>
      <c r="L9" s="942"/>
      <c r="M9" s="942"/>
      <c r="N9" s="943"/>
      <c r="O9" s="944">
        <f>C9</f>
        <v>2017</v>
      </c>
      <c r="P9" s="110"/>
      <c r="Q9" s="941">
        <v>2016</v>
      </c>
      <c r="R9" s="942"/>
      <c r="S9" s="942"/>
      <c r="T9" s="942"/>
      <c r="U9" s="942"/>
      <c r="V9" s="942"/>
      <c r="W9" s="942"/>
      <c r="X9" s="942"/>
      <c r="Y9" s="942"/>
      <c r="Z9" s="942"/>
      <c r="AA9" s="942"/>
      <c r="AB9" s="943"/>
      <c r="AC9" s="946">
        <f>Q9</f>
        <v>2016</v>
      </c>
      <c r="AD9" s="110"/>
    </row>
    <row r="10" spans="1:92" s="111" customFormat="1" ht="7.5" customHeight="1">
      <c r="A10" s="112"/>
      <c r="B10" s="939"/>
      <c r="C10" s="113" t="s">
        <v>511</v>
      </c>
      <c r="D10" s="113" t="s">
        <v>512</v>
      </c>
      <c r="E10" s="113" t="s">
        <v>513</v>
      </c>
      <c r="F10" s="114" t="s">
        <v>514</v>
      </c>
      <c r="G10" s="114" t="s">
        <v>515</v>
      </c>
      <c r="H10" s="113" t="s">
        <v>516</v>
      </c>
      <c r="I10" s="113" t="s">
        <v>517</v>
      </c>
      <c r="J10" s="114" t="s">
        <v>518</v>
      </c>
      <c r="K10" s="113" t="s">
        <v>519</v>
      </c>
      <c r="L10" s="113" t="s">
        <v>520</v>
      </c>
      <c r="M10" s="113" t="s">
        <v>521</v>
      </c>
      <c r="N10" s="113">
        <v>6</v>
      </c>
      <c r="O10" s="945"/>
      <c r="P10" s="110"/>
      <c r="Q10" s="113" t="s">
        <v>511</v>
      </c>
      <c r="R10" s="113" t="s">
        <v>512</v>
      </c>
      <c r="S10" s="113" t="s">
        <v>513</v>
      </c>
      <c r="T10" s="114" t="s">
        <v>514</v>
      </c>
      <c r="U10" s="114" t="s">
        <v>515</v>
      </c>
      <c r="V10" s="114" t="s">
        <v>516</v>
      </c>
      <c r="W10" s="114" t="s">
        <v>517</v>
      </c>
      <c r="X10" s="114" t="s">
        <v>518</v>
      </c>
      <c r="Y10" s="114" t="s">
        <v>519</v>
      </c>
      <c r="Z10" s="114" t="s">
        <v>520</v>
      </c>
      <c r="AA10" s="113" t="s">
        <v>521</v>
      </c>
      <c r="AB10" s="113">
        <v>12</v>
      </c>
      <c r="AC10" s="947"/>
      <c r="AD10" s="110"/>
    </row>
    <row r="11" spans="1:92" s="111" customFormat="1" ht="7.5" customHeight="1">
      <c r="A11" s="115"/>
      <c r="B11" s="940"/>
      <c r="C11" s="116" t="s">
        <v>502</v>
      </c>
      <c r="D11" s="116" t="s">
        <v>502</v>
      </c>
      <c r="E11" s="116" t="s">
        <v>502</v>
      </c>
      <c r="F11" s="117" t="s">
        <v>502</v>
      </c>
      <c r="G11" s="117" t="s">
        <v>502</v>
      </c>
      <c r="H11" s="116" t="s">
        <v>502</v>
      </c>
      <c r="I11" s="116" t="s">
        <v>502</v>
      </c>
      <c r="J11" s="117" t="s">
        <v>502</v>
      </c>
      <c r="K11" s="116" t="s">
        <v>502</v>
      </c>
      <c r="L11" s="116" t="s">
        <v>502</v>
      </c>
      <c r="M11" s="116" t="s">
        <v>502</v>
      </c>
      <c r="N11" s="116" t="s">
        <v>502</v>
      </c>
      <c r="O11" s="118" t="s">
        <v>502</v>
      </c>
      <c r="P11" s="110"/>
      <c r="Q11" s="116" t="s">
        <v>502</v>
      </c>
      <c r="R11" s="116" t="s">
        <v>502</v>
      </c>
      <c r="S11" s="116" t="s">
        <v>502</v>
      </c>
      <c r="T11" s="117" t="s">
        <v>502</v>
      </c>
      <c r="U11" s="117" t="s">
        <v>502</v>
      </c>
      <c r="V11" s="117" t="s">
        <v>502</v>
      </c>
      <c r="W11" s="117" t="s">
        <v>502</v>
      </c>
      <c r="X11" s="117" t="s">
        <v>502</v>
      </c>
      <c r="Y11" s="117" t="s">
        <v>502</v>
      </c>
      <c r="Z11" s="117" t="s">
        <v>502</v>
      </c>
      <c r="AA11" s="116" t="s">
        <v>502</v>
      </c>
      <c r="AB11" s="116" t="s">
        <v>502</v>
      </c>
      <c r="AC11" s="119" t="s">
        <v>502</v>
      </c>
      <c r="AD11" s="110"/>
    </row>
    <row r="12" spans="1:92" s="111" customFormat="1" ht="8.25" customHeight="1">
      <c r="A12" s="120"/>
      <c r="B12" s="121" t="s">
        <v>523</v>
      </c>
      <c r="C12" s="122"/>
      <c r="D12" s="122"/>
      <c r="E12" s="122"/>
      <c r="F12" s="123"/>
      <c r="G12" s="123"/>
      <c r="H12" s="122"/>
      <c r="I12" s="122"/>
      <c r="J12" s="123"/>
      <c r="K12" s="122"/>
      <c r="L12" s="122"/>
      <c r="M12" s="122"/>
      <c r="N12" s="122"/>
      <c r="O12" s="124"/>
      <c r="P12" s="110"/>
      <c r="Q12" s="122"/>
      <c r="R12" s="122"/>
      <c r="S12" s="122"/>
      <c r="T12" s="123"/>
      <c r="U12" s="123"/>
      <c r="V12" s="123"/>
      <c r="W12" s="123"/>
      <c r="X12" s="123"/>
      <c r="Y12" s="123"/>
      <c r="Z12" s="123"/>
      <c r="AA12" s="122"/>
      <c r="AB12" s="122"/>
      <c r="AC12" s="125"/>
      <c r="AD12" s="110"/>
    </row>
    <row r="13" spans="1:92" s="111" customFormat="1" ht="8.25" customHeight="1">
      <c r="A13" s="120"/>
      <c r="B13" s="121" t="s">
        <v>7</v>
      </c>
      <c r="C13" s="122"/>
      <c r="D13" s="122"/>
      <c r="E13" s="122"/>
      <c r="F13" s="123"/>
      <c r="G13" s="123"/>
      <c r="H13" s="122"/>
      <c r="I13" s="122"/>
      <c r="J13" s="123"/>
      <c r="K13" s="122"/>
      <c r="L13" s="122"/>
      <c r="M13" s="122"/>
      <c r="N13" s="122"/>
      <c r="O13" s="124"/>
      <c r="P13" s="110"/>
      <c r="Q13" s="122"/>
      <c r="R13" s="122"/>
      <c r="S13" s="122"/>
      <c r="T13" s="123"/>
      <c r="U13" s="123"/>
      <c r="V13" s="123"/>
      <c r="W13" s="123"/>
      <c r="X13" s="123"/>
      <c r="Y13" s="123"/>
      <c r="Z13" s="123"/>
      <c r="AA13" s="122"/>
      <c r="AB13" s="122"/>
      <c r="AC13" s="125"/>
      <c r="AD13" s="110"/>
      <c r="AE13" s="110"/>
    </row>
    <row r="14" spans="1:92">
      <c r="A14" s="126"/>
      <c r="B14" s="127" t="s">
        <v>524</v>
      </c>
      <c r="C14" s="128">
        <f>SUM(C15:C17)</f>
        <v>5841377108.8299999</v>
      </c>
      <c r="D14" s="128">
        <f>SUM(D15:D17)</f>
        <v>5054458629.6599998</v>
      </c>
      <c r="E14" s="128">
        <f>SUM(E15:E17)</f>
        <v>3889649798.6999998</v>
      </c>
      <c r="F14" s="128">
        <f>SUM(F15:F17)</f>
        <v>1044870467.2900001</v>
      </c>
      <c r="G14" s="128">
        <f>SUM(G15:G17)</f>
        <v>927178887.43000007</v>
      </c>
      <c r="H14" s="128">
        <f t="shared" ref="H14:O14" si="0">SUM(H15:H17)</f>
        <v>1377048061.48</v>
      </c>
      <c r="I14" s="128">
        <f t="shared" si="0"/>
        <v>1076797978.3099999</v>
      </c>
      <c r="J14" s="128">
        <f t="shared" si="0"/>
        <v>4523387994.9400005</v>
      </c>
      <c r="K14" s="128">
        <f t="shared" si="0"/>
        <v>1380502554.6199999</v>
      </c>
      <c r="L14" s="128">
        <v>1737410512.9100003</v>
      </c>
      <c r="M14" s="128">
        <v>826597051.06000006</v>
      </c>
      <c r="N14" s="128">
        <v>5582676038.6400003</v>
      </c>
      <c r="O14" s="129">
        <f t="shared" si="0"/>
        <v>0</v>
      </c>
      <c r="Q14" s="128">
        <f>SUM(Q15:Q17)</f>
        <v>5491780270.9800005</v>
      </c>
      <c r="R14" s="128">
        <f>SUM(R15:R17)</f>
        <v>4017195480.0699997</v>
      </c>
      <c r="S14" s="128">
        <f>SUM(S15:S17)</f>
        <v>6000637176.7200012</v>
      </c>
      <c r="T14" s="128">
        <f t="shared" ref="T14:AC14" si="1">SUM(T15:T17)</f>
        <v>634821649.13999999</v>
      </c>
      <c r="U14" s="128">
        <f t="shared" si="1"/>
        <v>173423482.45000002</v>
      </c>
      <c r="V14" s="128">
        <f t="shared" si="1"/>
        <v>763100188.13999999</v>
      </c>
      <c r="W14" s="128">
        <f t="shared" si="1"/>
        <v>577131966.93999994</v>
      </c>
      <c r="X14" s="128">
        <f t="shared" si="1"/>
        <v>922030841.32000005</v>
      </c>
      <c r="Y14" s="128">
        <f t="shared" si="1"/>
        <v>1658356702.3000002</v>
      </c>
      <c r="Z14" s="128">
        <f t="shared" si="1"/>
        <v>1821362744.76</v>
      </c>
      <c r="AA14" s="128">
        <f t="shared" si="1"/>
        <v>3249262214.5000005</v>
      </c>
      <c r="AB14" s="130">
        <v>2407655154.4699998</v>
      </c>
      <c r="AC14" s="129">
        <f t="shared" si="1"/>
        <v>0</v>
      </c>
      <c r="AE14" s="89"/>
      <c r="AF14" s="426">
        <f>+N14/1000</f>
        <v>5582676.0386399999</v>
      </c>
    </row>
    <row r="15" spans="1:92" ht="15" customHeight="1" outlineLevel="1">
      <c r="A15" s="131">
        <v>10</v>
      </c>
      <c r="B15" s="132" t="s">
        <v>525</v>
      </c>
      <c r="C15" s="133">
        <v>122032895.34999999</v>
      </c>
      <c r="D15" s="133">
        <v>48818973.899999999</v>
      </c>
      <c r="E15" s="133">
        <v>13606974.120000001</v>
      </c>
      <c r="F15" s="133">
        <v>45846883.369999997</v>
      </c>
      <c r="G15" s="102">
        <v>38231971.060000002</v>
      </c>
      <c r="H15" s="133">
        <v>75280988.930000007</v>
      </c>
      <c r="I15" s="133">
        <v>116282009.86999999</v>
      </c>
      <c r="J15" s="133">
        <v>248952693.97000003</v>
      </c>
      <c r="K15" s="133">
        <v>114950061.56999999</v>
      </c>
      <c r="L15" s="133">
        <v>147448926.22</v>
      </c>
      <c r="M15" s="133">
        <v>284666216.62</v>
      </c>
      <c r="N15" s="133">
        <v>276983698.50999999</v>
      </c>
      <c r="O15" s="134">
        <f>AU15</f>
        <v>0</v>
      </c>
      <c r="Q15" s="133">
        <f>60862818.76+26515180.36</f>
        <v>87377999.120000005</v>
      </c>
      <c r="R15" s="133">
        <f>13526705.21+20453537.49</f>
        <v>33980242.700000003</v>
      </c>
      <c r="S15" s="133">
        <f>50293287.28+27690576.24</f>
        <v>77983863.519999996</v>
      </c>
      <c r="T15" s="133">
        <f>5098736.19+41278874.33</f>
        <v>46377610.519999996</v>
      </c>
      <c r="U15" s="133">
        <f>10710100.13+21482968.89</f>
        <v>32193069.020000003</v>
      </c>
      <c r="V15" s="133">
        <f>38149950.58+24694963.61</f>
        <v>62844914.189999998</v>
      </c>
      <c r="W15" s="133">
        <f>32172501.37+67200226.54</f>
        <v>99372727.910000011</v>
      </c>
      <c r="X15" s="133">
        <f>81304264.28+80180074.62</f>
        <v>161484338.90000001</v>
      </c>
      <c r="Y15" s="133">
        <f>25308133.83+107173847.03</f>
        <v>132481980.86</v>
      </c>
      <c r="Z15" s="133">
        <f>38701259.47+52844355.77</f>
        <v>91545615.24000001</v>
      </c>
      <c r="AA15" s="133">
        <f>105740130.15+28511603.71</f>
        <v>134251733.86000001</v>
      </c>
      <c r="AB15" s="135">
        <v>202636745.77999997</v>
      </c>
      <c r="AC15" s="134">
        <f>BI15</f>
        <v>0</v>
      </c>
      <c r="AE15" s="89"/>
      <c r="AF15" s="426">
        <f t="shared" ref="AF15:AF78" si="2">+N15/1000</f>
        <v>276983.69851000002</v>
      </c>
    </row>
    <row r="16" spans="1:92" ht="15" customHeight="1" outlineLevel="1">
      <c r="A16" s="131">
        <v>11</v>
      </c>
      <c r="B16" s="132" t="s">
        <v>526</v>
      </c>
      <c r="C16" s="133">
        <v>5584670016.2199993</v>
      </c>
      <c r="D16" s="133">
        <v>4951953827.7600002</v>
      </c>
      <c r="E16" s="133">
        <v>3838827150.5799999</v>
      </c>
      <c r="F16" s="133">
        <v>966850301.92000008</v>
      </c>
      <c r="G16" s="102">
        <v>840561342.37</v>
      </c>
      <c r="H16" s="133">
        <v>1244659898.97</v>
      </c>
      <c r="I16" s="133">
        <v>864145177.13999999</v>
      </c>
      <c r="J16" s="133">
        <v>4176108606.3299999</v>
      </c>
      <c r="K16" s="133">
        <v>1155503377.8499999</v>
      </c>
      <c r="L16" s="133">
        <v>1486448587.8000002</v>
      </c>
      <c r="M16" s="133">
        <v>377669129.94000006</v>
      </c>
      <c r="N16" s="133">
        <v>4904029073.1300001</v>
      </c>
      <c r="O16" s="134">
        <f>AU16</f>
        <v>0</v>
      </c>
      <c r="Q16" s="133">
        <f>4547948693.22+792950200.64</f>
        <v>5340898893.8600006</v>
      </c>
      <c r="R16" s="133">
        <f>3924021843.88+41362841.49</f>
        <v>3965384685.3699999</v>
      </c>
      <c r="S16" s="133">
        <f>3839745233.76+2037135447.44</f>
        <v>5876880681.2000008</v>
      </c>
      <c r="T16" s="133">
        <f>508451623.77+46702249.85</f>
        <v>555153873.62</v>
      </c>
      <c r="U16" s="133">
        <f>27048243.28+86068271.15</f>
        <v>113116514.43000001</v>
      </c>
      <c r="V16" s="133">
        <f>156444457.52+414039778.02</f>
        <v>570484235.53999996</v>
      </c>
      <c r="W16" s="133">
        <f>273640980.09+149872808.82</f>
        <v>423513788.90999997</v>
      </c>
      <c r="X16" s="133">
        <f>603740797.08+46031358.22</f>
        <v>649772155.30000007</v>
      </c>
      <c r="Y16" s="133">
        <f>1027412732.82+382213161.5</f>
        <v>1409625894.3200002</v>
      </c>
      <c r="Z16" s="133">
        <f>1429302100.85+240852384.17</f>
        <v>1670154485.02</v>
      </c>
      <c r="AA16" s="133">
        <f>2782791202.32+0+224149301.82</f>
        <v>3006940504.1400003</v>
      </c>
      <c r="AB16" s="135">
        <v>1879519160.5799999</v>
      </c>
      <c r="AC16" s="134">
        <f>BI16</f>
        <v>0</v>
      </c>
      <c r="AE16" s="89"/>
      <c r="AF16" s="426">
        <f t="shared" si="2"/>
        <v>4904029.0731300004</v>
      </c>
    </row>
    <row r="17" spans="1:32" ht="15" customHeight="1" outlineLevel="1">
      <c r="A17" s="131" t="s">
        <v>527</v>
      </c>
      <c r="B17" s="132" t="s">
        <v>528</v>
      </c>
      <c r="C17" s="133">
        <v>134674197.25999999</v>
      </c>
      <c r="D17" s="133">
        <v>53685828</v>
      </c>
      <c r="E17" s="133">
        <v>37215674</v>
      </c>
      <c r="F17" s="133">
        <v>32173282</v>
      </c>
      <c r="G17" s="102">
        <v>48385574</v>
      </c>
      <c r="H17" s="133">
        <v>57107173.579999998</v>
      </c>
      <c r="I17" s="133">
        <v>96370791.299999997</v>
      </c>
      <c r="J17" s="133">
        <v>98326694.640000001</v>
      </c>
      <c r="K17" s="133">
        <v>110049115.2</v>
      </c>
      <c r="L17" s="133">
        <v>103512998.89</v>
      </c>
      <c r="M17" s="133">
        <v>164261704.5</v>
      </c>
      <c r="N17" s="133">
        <v>401663267</v>
      </c>
      <c r="O17" s="134">
        <f>AU17</f>
        <v>0</v>
      </c>
      <c r="Q17" s="133">
        <v>63503378</v>
      </c>
      <c r="R17" s="133">
        <f>17830552</f>
        <v>17830552</v>
      </c>
      <c r="S17" s="133">
        <v>45772632</v>
      </c>
      <c r="T17" s="133">
        <v>33290165</v>
      </c>
      <c r="U17" s="133">
        <v>28113899</v>
      </c>
      <c r="V17" s="133">
        <f>129771038.41</f>
        <v>129771038.41</v>
      </c>
      <c r="W17" s="133">
        <f>54245450.12</f>
        <v>54245450.119999997</v>
      </c>
      <c r="X17" s="133">
        <v>110774347.12</v>
      </c>
      <c r="Y17" s="133">
        <v>116248827.12</v>
      </c>
      <c r="Z17" s="133">
        <v>59662644.5</v>
      </c>
      <c r="AA17" s="133">
        <v>108069976.5</v>
      </c>
      <c r="AB17" s="135">
        <v>325499248.11000001</v>
      </c>
      <c r="AC17" s="134">
        <f>BI17</f>
        <v>0</v>
      </c>
      <c r="AE17" s="89"/>
      <c r="AF17" s="426">
        <f t="shared" si="2"/>
        <v>401663.26699999999</v>
      </c>
    </row>
    <row r="18" spans="1:32">
      <c r="A18" s="131"/>
      <c r="B18" s="136" t="s">
        <v>529</v>
      </c>
      <c r="C18" s="133"/>
      <c r="D18" s="133"/>
      <c r="E18" s="133"/>
      <c r="F18" s="133"/>
      <c r="G18" s="102"/>
      <c r="H18" s="133"/>
      <c r="I18" s="133"/>
      <c r="J18" s="133"/>
      <c r="K18" s="133"/>
      <c r="L18" s="133"/>
      <c r="M18" s="133"/>
      <c r="N18" s="133"/>
      <c r="O18" s="134">
        <f>AU18</f>
        <v>0</v>
      </c>
      <c r="Q18" s="133"/>
      <c r="R18" s="133"/>
      <c r="S18" s="133"/>
      <c r="T18" s="133"/>
      <c r="U18" s="133"/>
      <c r="V18" s="133"/>
      <c r="W18" s="137"/>
      <c r="X18" s="133"/>
      <c r="Y18" s="133"/>
      <c r="Z18" s="133"/>
      <c r="AA18" s="133"/>
      <c r="AB18" s="135"/>
      <c r="AC18" s="134">
        <f>BI18</f>
        <v>0</v>
      </c>
      <c r="AE18" s="89">
        <f>+N14</f>
        <v>5582676038.6400003</v>
      </c>
      <c r="AF18" s="426">
        <f t="shared" si="2"/>
        <v>0</v>
      </c>
    </row>
    <row r="19" spans="1:32">
      <c r="A19" s="131"/>
      <c r="B19" s="127" t="s">
        <v>530</v>
      </c>
      <c r="C19" s="133">
        <f>SUM(C20:C25)</f>
        <v>1923923161.8599994</v>
      </c>
      <c r="D19" s="133">
        <f>SUM(D20:D25)</f>
        <v>1829276116.1799996</v>
      </c>
      <c r="E19" s="133">
        <f>SUM(E20:E25)</f>
        <v>2130695046.4527996</v>
      </c>
      <c r="F19" s="133">
        <f>SUM(F20:F25)</f>
        <v>2104638351.2107999</v>
      </c>
      <c r="G19" s="133">
        <f t="shared" ref="G19:O19" si="3">SUM(G20:G25)</f>
        <v>1956037994.1579998</v>
      </c>
      <c r="H19" s="133">
        <f t="shared" si="3"/>
        <v>2036072808.0287995</v>
      </c>
      <c r="I19" s="133">
        <f t="shared" si="3"/>
        <v>4285179031.6500006</v>
      </c>
      <c r="J19" s="133">
        <f t="shared" si="3"/>
        <v>4638307603.6996002</v>
      </c>
      <c r="K19" s="133">
        <f t="shared" si="3"/>
        <v>6181809829.2466002</v>
      </c>
      <c r="L19" s="133">
        <v>6316602223.7619982</v>
      </c>
      <c r="M19" s="133">
        <v>4741977990.0481005</v>
      </c>
      <c r="N19" s="133">
        <v>11125041015.940001</v>
      </c>
      <c r="O19" s="134">
        <f t="shared" si="3"/>
        <v>0</v>
      </c>
      <c r="Q19" s="133">
        <f>SUM(Q20:Q25)</f>
        <v>2748643030.5400004</v>
      </c>
      <c r="R19" s="133">
        <f>SUM(R20:R25)</f>
        <v>2720842516.9700003</v>
      </c>
      <c r="S19" s="133">
        <f>SUM(S20:S25)</f>
        <v>895864254.79999995</v>
      </c>
      <c r="T19" s="133">
        <f>SUM(T20:T25)</f>
        <v>1184005836.0900006</v>
      </c>
      <c r="U19" s="133">
        <f t="shared" ref="U19:AC19" si="4">SUM(U20:U25)</f>
        <v>1225998036.46</v>
      </c>
      <c r="V19" s="133">
        <f t="shared" si="4"/>
        <v>1058436166.7199998</v>
      </c>
      <c r="W19" s="133">
        <f t="shared" si="4"/>
        <v>1538040876.6500001</v>
      </c>
      <c r="X19" s="133">
        <f t="shared" si="4"/>
        <v>4620469676.500001</v>
      </c>
      <c r="Y19" s="133">
        <f t="shared" si="4"/>
        <v>3981925686.7400007</v>
      </c>
      <c r="Z19" s="133">
        <f t="shared" si="4"/>
        <v>3766546452.6700006</v>
      </c>
      <c r="AA19" s="133">
        <f t="shared" si="4"/>
        <v>4165878270.0499992</v>
      </c>
      <c r="AB19" s="135">
        <v>5517444975.4000006</v>
      </c>
      <c r="AC19" s="134">
        <f t="shared" si="4"/>
        <v>0</v>
      </c>
      <c r="AE19" s="89">
        <f>+N19+N26+N44+N50+N56+N32</f>
        <v>21617894686.349998</v>
      </c>
      <c r="AF19" s="426">
        <f t="shared" si="2"/>
        <v>11125041.015940001</v>
      </c>
    </row>
    <row r="20" spans="1:32" ht="15" customHeight="1" outlineLevel="1">
      <c r="A20" s="138">
        <v>1201</v>
      </c>
      <c r="B20" s="132" t="s">
        <v>531</v>
      </c>
      <c r="C20" s="133">
        <v>3813753747.4199996</v>
      </c>
      <c r="D20" s="133">
        <v>3687575495.2399998</v>
      </c>
      <c r="E20" s="133">
        <v>3993745936.79</v>
      </c>
      <c r="F20" s="133">
        <v>3936035899.9900002</v>
      </c>
      <c r="G20" s="102">
        <v>3807413118.5799999</v>
      </c>
      <c r="H20" s="133">
        <v>3893672794.0799999</v>
      </c>
      <c r="I20" s="133">
        <v>5930675069.6800003</v>
      </c>
      <c r="J20" s="133">
        <v>6276849776.79</v>
      </c>
      <c r="K20" s="133">
        <v>7992892054.5600004</v>
      </c>
      <c r="L20" s="133">
        <v>8085147683.249999</v>
      </c>
      <c r="M20" s="133">
        <v>6407997931.3800001</v>
      </c>
      <c r="N20" s="133">
        <v>12085818458.370001</v>
      </c>
      <c r="O20" s="134">
        <f>AU20</f>
        <v>0</v>
      </c>
      <c r="Q20" s="133">
        <f>1073053226.72</f>
        <v>1073053226.72</v>
      </c>
      <c r="R20" s="133">
        <v>916458757.70000005</v>
      </c>
      <c r="S20" s="133">
        <v>801236518.72000003</v>
      </c>
      <c r="T20" s="133">
        <f>765826123.57</f>
        <v>765826123.57000005</v>
      </c>
      <c r="U20" s="133">
        <v>880738594.57000005</v>
      </c>
      <c r="V20" s="133">
        <f>56545252.46+2860392486.18</f>
        <v>2916937738.6399999</v>
      </c>
      <c r="W20" s="133">
        <f>3392332882.31</f>
        <v>3392332882.3099999</v>
      </c>
      <c r="X20" s="133">
        <v>6489675102.3299999</v>
      </c>
      <c r="Y20" s="133">
        <f>62540059.78+5803282126.1</f>
        <v>5865822185.8800001</v>
      </c>
      <c r="Z20" s="133">
        <f>5312696783.47+248698100.76</f>
        <v>5561394884.2300005</v>
      </c>
      <c r="AA20" s="133">
        <f>131331275.51+49842741.29+5777874729.84</f>
        <v>5959048746.6400003</v>
      </c>
      <c r="AB20" s="135">
        <v>6566668773.8499994</v>
      </c>
      <c r="AC20" s="134">
        <f>BI20</f>
        <v>0</v>
      </c>
      <c r="AE20" s="89">
        <f>+N36</f>
        <v>98531260841.924286</v>
      </c>
      <c r="AF20" s="426">
        <f t="shared" si="2"/>
        <v>12085818.45837</v>
      </c>
    </row>
    <row r="21" spans="1:32" ht="15" customHeight="1" outlineLevel="1">
      <c r="A21" s="138">
        <v>1205</v>
      </c>
      <c r="B21" s="132" t="s">
        <v>204</v>
      </c>
      <c r="C21" s="133">
        <v>-1948991955.54</v>
      </c>
      <c r="D21" s="133">
        <v>-1948991955.54</v>
      </c>
      <c r="E21" s="133">
        <v>-1948991955.5400002</v>
      </c>
      <c r="F21" s="133">
        <v>-1948991955.5400002</v>
      </c>
      <c r="G21" s="102">
        <v>-1948991955.5400002</v>
      </c>
      <c r="H21" s="133">
        <v>-1948991955.5400002</v>
      </c>
      <c r="I21" s="133">
        <v>-1948991955.5400002</v>
      </c>
      <c r="J21" s="133">
        <v>-1948991955.54</v>
      </c>
      <c r="K21" s="133">
        <v>-1945895955.5400002</v>
      </c>
      <c r="L21" s="133">
        <v>-1945895955.5400002</v>
      </c>
      <c r="M21" s="133">
        <v>-1945895955.5400002</v>
      </c>
      <c r="N21" s="133">
        <v>-1386533134.8099999</v>
      </c>
      <c r="O21" s="134">
        <f>AU21</f>
        <v>0</v>
      </c>
      <c r="Q21" s="133">
        <f>-83239011.27+62251747.49</f>
        <v>-20987263.779999994</v>
      </c>
      <c r="R21" s="133">
        <f>-83239011.27+62251747.49</f>
        <v>-20987263.779999994</v>
      </c>
      <c r="S21" s="133">
        <v>-19315004.25</v>
      </c>
      <c r="T21" s="133">
        <v>-19315004.25</v>
      </c>
      <c r="U21" s="133">
        <v>-19315004.25</v>
      </c>
      <c r="V21" s="133">
        <f>-40285976.16-1114413156.05-779301368.49-19315004.25</f>
        <v>-1953315504.95</v>
      </c>
      <c r="W21" s="133">
        <f>-1937010262.57-19315004.25</f>
        <v>-1956325266.8199999</v>
      </c>
      <c r="X21" s="133">
        <f>-1937010262.57-19315004.25</f>
        <v>-1956325266.8199999</v>
      </c>
      <c r="Y21" s="133">
        <f>-1937010262.57-19315004.25</f>
        <v>-1956325266.8199999</v>
      </c>
      <c r="Z21" s="133">
        <f>-1937010262.57-19315004.25</f>
        <v>-1956325266.8199999</v>
      </c>
      <c r="AA21" s="133">
        <f>-1896724286.41-45333669.13-23897935.25+5047692.97</f>
        <v>-1960908197.8200002</v>
      </c>
      <c r="AB21" s="135">
        <v>-1412216406.5</v>
      </c>
      <c r="AC21" s="134">
        <f>BI21</f>
        <v>0</v>
      </c>
      <c r="AE21" s="89">
        <f>+AE18+AE19+AE20</f>
        <v>125731831566.91428</v>
      </c>
      <c r="AF21" s="426">
        <f t="shared" si="2"/>
        <v>-1386533.13481</v>
      </c>
    </row>
    <row r="22" spans="1:32" ht="15" customHeight="1" outlineLevel="1">
      <c r="A22" s="138"/>
      <c r="B22" s="132" t="s">
        <v>532</v>
      </c>
      <c r="C22" s="133"/>
      <c r="D22" s="133"/>
      <c r="E22" s="133"/>
      <c r="F22" s="133"/>
      <c r="G22" s="102"/>
      <c r="H22" s="133"/>
      <c r="I22" s="133"/>
      <c r="J22" s="133"/>
      <c r="K22" s="133"/>
      <c r="L22" s="133"/>
      <c r="M22" s="133"/>
      <c r="N22" s="133"/>
      <c r="O22" s="134"/>
      <c r="Q22" s="133"/>
      <c r="R22" s="133"/>
      <c r="S22" s="133"/>
      <c r="T22" s="133"/>
      <c r="U22" s="133"/>
      <c r="V22" s="133"/>
      <c r="W22" s="133"/>
      <c r="X22" s="133"/>
      <c r="Y22" s="133"/>
      <c r="Z22" s="133"/>
      <c r="AA22" s="133"/>
      <c r="AB22" s="135"/>
      <c r="AC22" s="134"/>
      <c r="AE22" s="89"/>
      <c r="AF22" s="426">
        <f t="shared" si="2"/>
        <v>0</v>
      </c>
    </row>
    <row r="23" spans="1:32" ht="15" customHeight="1" outlineLevel="1">
      <c r="A23" s="138">
        <v>1206</v>
      </c>
      <c r="B23" s="132" t="s">
        <v>533</v>
      </c>
      <c r="C23" s="133">
        <v>50356934.419999771</v>
      </c>
      <c r="D23" s="133">
        <v>69905874.889999777</v>
      </c>
      <c r="E23" s="133">
        <v>69756034.982799679</v>
      </c>
      <c r="F23" s="133">
        <v>73491833.760799974</v>
      </c>
      <c r="G23" s="102">
        <v>77548417.538000017</v>
      </c>
      <c r="H23" s="133">
        <v>76872712.378800005</v>
      </c>
      <c r="I23" s="133">
        <v>290704751.54999995</v>
      </c>
      <c r="J23" s="133">
        <v>300324450.82959998</v>
      </c>
      <c r="K23" s="133">
        <v>107505708.11659978</v>
      </c>
      <c r="L23" s="133">
        <v>143289704.98199967</v>
      </c>
      <c r="M23" s="133">
        <v>254070753.62810054</v>
      </c>
      <c r="N23" s="133">
        <v>373442664.95999992</v>
      </c>
      <c r="O23" s="134">
        <f>AU23</f>
        <v>0</v>
      </c>
      <c r="Q23" s="133">
        <f>8602975828.6-Q26-Q24-Q32+837170748.64</f>
        <v>1662821307.5300002</v>
      </c>
      <c r="R23" s="133">
        <f>9587621271.01-R26-R24-R32</f>
        <v>1794375235.6200004</v>
      </c>
      <c r="S23" s="133">
        <f>7889257834.16-S26-S24-S32+500000</f>
        <v>79950233.099999845</v>
      </c>
      <c r="T23" s="133">
        <f>5552380908.81-T26-T24-T32</f>
        <v>101715550.02000043</v>
      </c>
      <c r="U23" s="133">
        <f>388186627.89-U26-U24-U32</f>
        <v>33306419.339999989</v>
      </c>
      <c r="V23" s="133">
        <f>118722328.27-V26-V24-V32</f>
        <v>33523956.659999996</v>
      </c>
      <c r="W23" s="133">
        <f>130477070.95-W26-W24-W32</f>
        <v>43491240.690000005</v>
      </c>
      <c r="X23" s="133">
        <f>120325841.68-X26-X24-X32+96000</f>
        <v>29107649.390000008</v>
      </c>
      <c r="Y23" s="133">
        <f>3307256321.86-Y26-Y24-Y32</f>
        <v>29613510.430000208</v>
      </c>
      <c r="Z23" s="133">
        <f>10999934446.57-Z26-Z24-Z32</f>
        <v>106988538.2399997</v>
      </c>
      <c r="AA23" s="133">
        <f>12174511108.8-AA24-AA26-AA32</f>
        <v>139026488.20999923</v>
      </c>
      <c r="AB23" s="135">
        <v>315874252.29000092</v>
      </c>
      <c r="AC23" s="134">
        <f>BI23</f>
        <v>0</v>
      </c>
      <c r="AE23" s="89">
        <f>+N72</f>
        <v>125731831566.91431</v>
      </c>
      <c r="AF23" s="426">
        <f t="shared" si="2"/>
        <v>373442.66495999991</v>
      </c>
    </row>
    <row r="24" spans="1:32" ht="15" customHeight="1" outlineLevel="1">
      <c r="A24" s="138">
        <v>1207</v>
      </c>
      <c r="B24" s="132" t="s">
        <v>534</v>
      </c>
      <c r="C24" s="133"/>
      <c r="D24" s="133"/>
      <c r="E24" s="133"/>
      <c r="F24" s="133"/>
      <c r="G24" s="102"/>
      <c r="H24" s="133"/>
      <c r="I24" s="133"/>
      <c r="J24" s="133"/>
      <c r="K24" s="133"/>
      <c r="L24" s="133"/>
      <c r="M24" s="133"/>
      <c r="N24" s="133"/>
      <c r="O24" s="134">
        <f>AU24</f>
        <v>0</v>
      </c>
      <c r="Q24" s="133">
        <f>2338000</f>
        <v>2338000</v>
      </c>
      <c r="R24" s="133">
        <f>2338000</f>
        <v>2338000</v>
      </c>
      <c r="S24" s="133">
        <f>2338000</f>
        <v>2338000</v>
      </c>
      <c r="T24" s="133">
        <f>2338000+300000000</f>
        <v>302338000</v>
      </c>
      <c r="U24" s="133">
        <f>2338000+300000000</f>
        <v>302338000</v>
      </c>
      <c r="V24" s="133">
        <f>30000000+2338000</f>
        <v>32338000</v>
      </c>
      <c r="W24" s="133">
        <f>30000000+2338000</f>
        <v>32338000</v>
      </c>
      <c r="X24" s="133">
        <f>30000000+2338000</f>
        <v>32338000</v>
      </c>
      <c r="Y24" s="133">
        <f>2338000</f>
        <v>2338000</v>
      </c>
      <c r="Z24" s="133">
        <f>2338000</f>
        <v>2338000</v>
      </c>
      <c r="AA24" s="133">
        <f>2338000</f>
        <v>2338000</v>
      </c>
      <c r="AB24" s="135"/>
      <c r="AC24" s="134">
        <f>BI24</f>
        <v>0</v>
      </c>
      <c r="AE24" s="89">
        <f>+AE23-AE21</f>
        <v>0</v>
      </c>
      <c r="AF24" s="426">
        <f t="shared" si="2"/>
        <v>0</v>
      </c>
    </row>
    <row r="25" spans="1:32" ht="15" customHeight="1" outlineLevel="1">
      <c r="A25" s="138">
        <v>1208</v>
      </c>
      <c r="B25" s="132" t="s">
        <v>535</v>
      </c>
      <c r="C25" s="133">
        <v>8804435.5599999987</v>
      </c>
      <c r="D25" s="133">
        <v>20786701.590000004</v>
      </c>
      <c r="E25" s="133">
        <v>16185030.219999999</v>
      </c>
      <c r="F25" s="133">
        <v>44102573</v>
      </c>
      <c r="G25" s="102">
        <v>20068413.579999998</v>
      </c>
      <c r="H25" s="133">
        <v>14519257.109999999</v>
      </c>
      <c r="I25" s="133">
        <v>12791165.960000001</v>
      </c>
      <c r="J25" s="133">
        <v>10125331.620000001</v>
      </c>
      <c r="K25" s="133">
        <v>27308022.109999999</v>
      </c>
      <c r="L25" s="133">
        <v>34060791.07</v>
      </c>
      <c r="M25" s="133">
        <v>25805260.579999998</v>
      </c>
      <c r="N25" s="133">
        <v>52313027.420000002</v>
      </c>
      <c r="O25" s="134">
        <f>AU25</f>
        <v>0</v>
      </c>
      <c r="Q25" s="133">
        <f>31417760.07</f>
        <v>31417760.07</v>
      </c>
      <c r="R25" s="133">
        <v>28657787.43</v>
      </c>
      <c r="S25" s="133">
        <v>31654507.23</v>
      </c>
      <c r="T25" s="133">
        <v>33441166.75</v>
      </c>
      <c r="U25" s="133">
        <v>28930026.800000001</v>
      </c>
      <c r="V25" s="133">
        <f>28951976.37</f>
        <v>28951976.370000001</v>
      </c>
      <c r="W25" s="133">
        <f>26204020.47</f>
        <v>26204020.469999999</v>
      </c>
      <c r="X25" s="133">
        <v>25674191.600000001</v>
      </c>
      <c r="Y25" s="133">
        <v>40477257.25</v>
      </c>
      <c r="Z25" s="133">
        <v>52150297.020000003</v>
      </c>
      <c r="AA25" s="133">
        <v>26373233.02</v>
      </c>
      <c r="AB25" s="135">
        <v>47118355.759999998</v>
      </c>
      <c r="AC25" s="134">
        <f>BI25</f>
        <v>0</v>
      </c>
      <c r="AE25" s="89"/>
      <c r="AF25" s="426">
        <f t="shared" si="2"/>
        <v>52313.027419999999</v>
      </c>
    </row>
    <row r="26" spans="1:32">
      <c r="A26" s="138"/>
      <c r="B26" s="127" t="s">
        <v>536</v>
      </c>
      <c r="C26" s="140">
        <f>SUM(C27:C31)</f>
        <v>12082934200.000401</v>
      </c>
      <c r="D26" s="140">
        <f>SUM(D27:D31)</f>
        <v>12581286468.428799</v>
      </c>
      <c r="E26" s="140">
        <f>SUM(E27:E31)</f>
        <v>9567850550</v>
      </c>
      <c r="F26" s="140">
        <f>SUM(F27:F31)</f>
        <v>500000</v>
      </c>
      <c r="G26" s="141">
        <f t="shared" ref="G26:O26" si="5">SUM(G27:G31)</f>
        <v>500000</v>
      </c>
      <c r="H26" s="140">
        <f t="shared" si="5"/>
        <v>500000</v>
      </c>
      <c r="I26" s="140">
        <f t="shared" si="5"/>
        <v>500000</v>
      </c>
      <c r="J26" s="140">
        <v>500000</v>
      </c>
      <c r="K26" s="140">
        <v>4595632172.1000004</v>
      </c>
      <c r="L26" s="140">
        <v>6110867652.1859999</v>
      </c>
      <c r="M26" s="140">
        <v>6432963183.3811998</v>
      </c>
      <c r="N26" s="140">
        <v>8409091</v>
      </c>
      <c r="O26" s="142">
        <f t="shared" si="5"/>
        <v>0</v>
      </c>
      <c r="Q26" s="140">
        <f>SUM(Q27:Q31)</f>
        <v>7575418190</v>
      </c>
      <c r="R26" s="140">
        <f>SUM(R27:R31)</f>
        <v>7590047483</v>
      </c>
      <c r="S26" s="140">
        <f>SUM(S27:S31)</f>
        <v>7605317576</v>
      </c>
      <c r="T26" s="140">
        <f>SUM(T27:T31)</f>
        <v>4942880000</v>
      </c>
      <c r="U26" s="140">
        <f t="shared" ref="U26:AC26" si="6">SUM(U27:U31)</f>
        <v>7100</v>
      </c>
      <c r="V26" s="140">
        <f t="shared" si="6"/>
        <v>200000</v>
      </c>
      <c r="W26" s="141">
        <f t="shared" si="6"/>
        <v>0</v>
      </c>
      <c r="X26" s="140">
        <f t="shared" si="6"/>
        <v>96000</v>
      </c>
      <c r="Y26" s="140">
        <f t="shared" si="6"/>
        <v>3215350415.5799999</v>
      </c>
      <c r="Z26" s="140">
        <f t="shared" si="6"/>
        <v>10828011700</v>
      </c>
      <c r="AA26" s="140">
        <f t="shared" si="6"/>
        <v>11969724550</v>
      </c>
      <c r="AB26" s="143">
        <v>14002009900</v>
      </c>
      <c r="AC26" s="142">
        <f t="shared" si="6"/>
        <v>0</v>
      </c>
      <c r="AE26" s="89"/>
      <c r="AF26" s="426">
        <f t="shared" si="2"/>
        <v>8409.0910000000003</v>
      </c>
    </row>
    <row r="27" spans="1:32" ht="15" customHeight="1" outlineLevel="1">
      <c r="A27" s="138">
        <v>1203</v>
      </c>
      <c r="B27" s="132" t="s">
        <v>537</v>
      </c>
      <c r="C27" s="133">
        <v>500000</v>
      </c>
      <c r="D27" s="133">
        <v>1460000</v>
      </c>
      <c r="E27" s="133">
        <v>3214950</v>
      </c>
      <c r="F27" s="133">
        <f>2140700-2140700+500000</f>
        <v>500000</v>
      </c>
      <c r="G27" s="102">
        <v>500000</v>
      </c>
      <c r="H27" s="133">
        <v>500000</v>
      </c>
      <c r="I27" s="133">
        <v>500000</v>
      </c>
      <c r="J27" s="133">
        <v>500000</v>
      </c>
      <c r="K27" s="133">
        <v>21000000</v>
      </c>
      <c r="L27" s="133">
        <v>17084235.990000002</v>
      </c>
      <c r="M27" s="133">
        <v>503045</v>
      </c>
      <c r="N27" s="133">
        <v>8409091</v>
      </c>
      <c r="O27" s="134">
        <f>AU27</f>
        <v>0</v>
      </c>
      <c r="Q27" s="133">
        <f>140800</f>
        <v>140800</v>
      </c>
      <c r="R27" s="133"/>
      <c r="S27" s="133">
        <f>500000</f>
        <v>500000</v>
      </c>
      <c r="T27" s="133"/>
      <c r="U27" s="133">
        <f>7100</f>
        <v>7100</v>
      </c>
      <c r="V27" s="133">
        <f>200000</f>
        <v>200000</v>
      </c>
      <c r="W27" s="137"/>
      <c r="X27" s="133">
        <v>96000</v>
      </c>
      <c r="Y27" s="133"/>
      <c r="Z27" s="133">
        <f>500000</f>
        <v>500000</v>
      </c>
      <c r="AA27" s="133">
        <f>500000+2384550</f>
        <v>2884550</v>
      </c>
      <c r="AB27" s="135">
        <v>2009900</v>
      </c>
      <c r="AC27" s="134">
        <f>BI27</f>
        <v>0</v>
      </c>
      <c r="AE27" s="89"/>
      <c r="AF27" s="426">
        <f t="shared" si="2"/>
        <v>8409.0910000000003</v>
      </c>
    </row>
    <row r="28" spans="1:32" ht="15" customHeight="1" outlineLevel="1">
      <c r="A28" s="138">
        <v>1203</v>
      </c>
      <c r="B28" s="132" t="s">
        <v>538</v>
      </c>
      <c r="C28" s="133">
        <v>12082434200.000401</v>
      </c>
      <c r="D28" s="133">
        <v>12579826468.428799</v>
      </c>
      <c r="E28" s="133">
        <v>9564635600</v>
      </c>
      <c r="F28" s="133"/>
      <c r="G28" s="102"/>
      <c r="H28" s="133"/>
      <c r="I28" s="133"/>
      <c r="J28" s="133"/>
      <c r="K28" s="133">
        <v>4564459000</v>
      </c>
      <c r="L28" s="133">
        <v>6082100000</v>
      </c>
      <c r="M28" s="133">
        <v>6410974500</v>
      </c>
      <c r="N28" s="133"/>
      <c r="O28" s="134">
        <f>AU28</f>
        <v>0</v>
      </c>
      <c r="Q28" s="133">
        <f>1139300*1392.3+500000*1392.3+5292880000</f>
        <v>7575277390</v>
      </c>
      <c r="R28" s="133">
        <f>1139300*1401.31+500000*1401.31+5292880000</f>
        <v>7590047483</v>
      </c>
      <c r="S28" s="133">
        <f>1139300*1410.32+500000*1410.32+5292880000</f>
        <v>7604817576</v>
      </c>
      <c r="T28" s="133">
        <f>4942880000</f>
        <v>4942880000</v>
      </c>
      <c r="U28" s="133"/>
      <c r="V28" s="133"/>
      <c r="W28" s="137"/>
      <c r="X28" s="133"/>
      <c r="Y28" s="133">
        <f>1950000*1646.48</f>
        <v>3210636000</v>
      </c>
      <c r="Z28" s="133">
        <f>3390000*1719.03+5000000000</f>
        <v>10827511700</v>
      </c>
      <c r="AA28" s="133">
        <f>6966840000+5000000000</f>
        <v>11966840000</v>
      </c>
      <c r="AB28" s="135">
        <v>14000000000</v>
      </c>
      <c r="AC28" s="134">
        <f>BI28</f>
        <v>0</v>
      </c>
      <c r="AF28" s="426">
        <f t="shared" si="2"/>
        <v>0</v>
      </c>
    </row>
    <row r="29" spans="1:32" ht="15" customHeight="1" outlineLevel="1">
      <c r="A29" s="138">
        <v>1203</v>
      </c>
      <c r="B29" s="132" t="s">
        <v>218</v>
      </c>
      <c r="C29" s="133"/>
      <c r="D29" s="133"/>
      <c r="E29" s="133"/>
      <c r="F29" s="133"/>
      <c r="G29" s="102"/>
      <c r="H29" s="133"/>
      <c r="I29" s="133"/>
      <c r="J29" s="133"/>
      <c r="K29" s="133"/>
      <c r="L29" s="133"/>
      <c r="M29" s="133"/>
      <c r="N29" s="133"/>
      <c r="O29" s="134">
        <f>AU29</f>
        <v>0</v>
      </c>
      <c r="Q29" s="133"/>
      <c r="R29" s="133"/>
      <c r="S29" s="133"/>
      <c r="T29" s="133"/>
      <c r="U29" s="133"/>
      <c r="V29" s="133"/>
      <c r="W29" s="137"/>
      <c r="X29" s="133"/>
      <c r="Y29" s="133"/>
      <c r="Z29" s="133"/>
      <c r="AA29" s="133"/>
      <c r="AB29" s="135"/>
      <c r="AC29" s="134">
        <f>BI29</f>
        <v>0</v>
      </c>
      <c r="AF29" s="426">
        <f t="shared" si="2"/>
        <v>0</v>
      </c>
    </row>
    <row r="30" spans="1:32" ht="15" customHeight="1" outlineLevel="1">
      <c r="A30" s="138">
        <v>1203</v>
      </c>
      <c r="B30" s="132" t="s">
        <v>539</v>
      </c>
      <c r="C30" s="133"/>
      <c r="D30" s="133"/>
      <c r="E30" s="133"/>
      <c r="F30" s="133"/>
      <c r="G30" s="102"/>
      <c r="H30" s="133"/>
      <c r="I30" s="133"/>
      <c r="J30" s="133"/>
      <c r="K30" s="133">
        <v>10173172.1</v>
      </c>
      <c r="L30" s="133">
        <v>11683416.195999999</v>
      </c>
      <c r="M30" s="133">
        <v>21485638.381200001</v>
      </c>
      <c r="N30" s="133"/>
      <c r="O30" s="134">
        <f>AU30</f>
        <v>0</v>
      </c>
      <c r="Q30" s="133"/>
      <c r="R30" s="133"/>
      <c r="S30" s="133"/>
      <c r="T30" s="133"/>
      <c r="U30" s="133"/>
      <c r="V30" s="133"/>
      <c r="W30" s="133"/>
      <c r="X30" s="133"/>
      <c r="Y30" s="133">
        <f>4714415.58</f>
        <v>4714415.58</v>
      </c>
      <c r="Z30" s="133"/>
      <c r="AA30" s="133"/>
      <c r="AB30" s="135"/>
      <c r="AC30" s="134">
        <f>BI30</f>
        <v>0</v>
      </c>
      <c r="AF30" s="426">
        <f t="shared" si="2"/>
        <v>0</v>
      </c>
    </row>
    <row r="31" spans="1:32" ht="15" customHeight="1" outlineLevel="1">
      <c r="A31" s="138">
        <v>1203</v>
      </c>
      <c r="B31" s="132" t="s">
        <v>540</v>
      </c>
      <c r="C31" s="133"/>
      <c r="D31" s="133"/>
      <c r="E31" s="133"/>
      <c r="F31" s="133"/>
      <c r="G31" s="102"/>
      <c r="H31" s="133"/>
      <c r="I31" s="133"/>
      <c r="J31" s="133"/>
      <c r="K31" s="133"/>
      <c r="L31" s="133"/>
      <c r="M31" s="133"/>
      <c r="N31" s="133"/>
      <c r="O31" s="134">
        <f>AU31</f>
        <v>0</v>
      </c>
      <c r="Q31" s="133"/>
      <c r="R31" s="133"/>
      <c r="S31" s="133"/>
      <c r="T31" s="133"/>
      <c r="U31" s="133"/>
      <c r="V31" s="133"/>
      <c r="W31" s="133"/>
      <c r="X31" s="133"/>
      <c r="Y31" s="137"/>
      <c r="Z31" s="133"/>
      <c r="AA31" s="133"/>
      <c r="AB31" s="135"/>
      <c r="AC31" s="134">
        <f>BI31</f>
        <v>0</v>
      </c>
      <c r="AF31" s="426">
        <f t="shared" si="2"/>
        <v>0</v>
      </c>
    </row>
    <row r="32" spans="1:32">
      <c r="A32" s="138">
        <v>1203</v>
      </c>
      <c r="B32" s="127" t="s">
        <v>541</v>
      </c>
      <c r="C32" s="133">
        <f>SUM(C33:C35)</f>
        <v>62748781.649599999</v>
      </c>
      <c r="D32" s="133">
        <f>SUM(D33:D35)</f>
        <v>65092730.231199995</v>
      </c>
      <c r="E32" s="133">
        <f>SUM(E33:E35)</f>
        <v>64908841.147199996</v>
      </c>
      <c r="F32" s="133">
        <f>SUM(F33:F35)</f>
        <v>65433198.139200002</v>
      </c>
      <c r="G32" s="102">
        <v>66223739.132000007</v>
      </c>
      <c r="H32" s="133">
        <f t="shared" ref="H32:O32" si="7">SUM(H33:H35)</f>
        <v>66485553.4912</v>
      </c>
      <c r="I32" s="133">
        <f t="shared" si="7"/>
        <v>68093581.599999994</v>
      </c>
      <c r="J32" s="133">
        <f t="shared" si="7"/>
        <v>65946266.8904</v>
      </c>
      <c r="K32" s="133">
        <v>52697807.523399994</v>
      </c>
      <c r="L32" s="133">
        <v>53289338.652000003</v>
      </c>
      <c r="M32" s="133">
        <v>54261957.840700001</v>
      </c>
      <c r="N32" s="133">
        <v>7931370208.2399998</v>
      </c>
      <c r="O32" s="134">
        <f t="shared" si="7"/>
        <v>0</v>
      </c>
      <c r="Q32" s="133">
        <f>SUM(Q33:Q35)</f>
        <v>199569079.71000001</v>
      </c>
      <c r="R32" s="133">
        <f>SUM(R33:R35)</f>
        <v>200860552.38999999</v>
      </c>
      <c r="S32" s="133">
        <f t="shared" ref="S32:AC32" si="8">SUM(S33:S35)</f>
        <v>202152025.06</v>
      </c>
      <c r="T32" s="133">
        <f t="shared" si="8"/>
        <v>205447358.78999999</v>
      </c>
      <c r="U32" s="133">
        <f t="shared" si="8"/>
        <v>52535108.549999997</v>
      </c>
      <c r="V32" s="133">
        <f t="shared" si="8"/>
        <v>52660371.609999999</v>
      </c>
      <c r="W32" s="133">
        <f t="shared" si="8"/>
        <v>54647830.259999998</v>
      </c>
      <c r="X32" s="133">
        <f t="shared" si="8"/>
        <v>58880192.289999999</v>
      </c>
      <c r="Y32" s="137">
        <f t="shared" si="8"/>
        <v>59954395.850000001</v>
      </c>
      <c r="Z32" s="133">
        <f t="shared" si="8"/>
        <v>62596208.329999998</v>
      </c>
      <c r="AA32" s="133">
        <f t="shared" si="8"/>
        <v>63422070.590000004</v>
      </c>
      <c r="AB32" s="135">
        <v>2292855623.6899996</v>
      </c>
      <c r="AC32" s="134">
        <f t="shared" si="8"/>
        <v>0</v>
      </c>
      <c r="AF32" s="426">
        <f t="shared" si="2"/>
        <v>7931370.2082399996</v>
      </c>
    </row>
    <row r="33" spans="1:32" ht="15" customHeight="1" outlineLevel="1">
      <c r="A33" s="138">
        <v>1203</v>
      </c>
      <c r="B33" s="132" t="s">
        <v>542</v>
      </c>
      <c r="C33" s="133"/>
      <c r="D33" s="133"/>
      <c r="E33" s="133"/>
      <c r="F33" s="133"/>
      <c r="G33" s="102"/>
      <c r="H33" s="133"/>
      <c r="I33" s="133"/>
      <c r="J33" s="133"/>
      <c r="K33" s="133"/>
      <c r="L33" s="133"/>
      <c r="M33" s="133"/>
      <c r="N33" s="133">
        <v>7101268594.7199993</v>
      </c>
      <c r="O33" s="134">
        <f>AU33</f>
        <v>0</v>
      </c>
      <c r="Q33" s="133"/>
      <c r="R33" s="133"/>
      <c r="S33" s="133"/>
      <c r="T33" s="133"/>
      <c r="U33" s="133"/>
      <c r="V33" s="133"/>
      <c r="W33" s="133"/>
      <c r="X33" s="133"/>
      <c r="Y33" s="137"/>
      <c r="Z33" s="133"/>
      <c r="AA33" s="133"/>
      <c r="AB33" s="135">
        <v>1697641301.2399998</v>
      </c>
      <c r="AC33" s="134">
        <f>BI33</f>
        <v>0</v>
      </c>
      <c r="AF33" s="426">
        <f t="shared" si="2"/>
        <v>7101268.5947199995</v>
      </c>
    </row>
    <row r="34" spans="1:32" ht="15" customHeight="1" outlineLevel="1">
      <c r="A34" s="138">
        <v>1203</v>
      </c>
      <c r="B34" s="132" t="s">
        <v>538</v>
      </c>
      <c r="C34" s="133">
        <f>36413.68*1723.22</f>
        <v>62748781.649599999</v>
      </c>
      <c r="D34" s="133">
        <v>65092730.231199995</v>
      </c>
      <c r="E34" s="133">
        <v>64908841.147199996</v>
      </c>
      <c r="F34" s="133">
        <v>65433198.139200002</v>
      </c>
      <c r="G34" s="102">
        <v>66223739.132000007</v>
      </c>
      <c r="H34" s="133">
        <v>66485553.4912</v>
      </c>
      <c r="I34" s="133">
        <v>68093581.599999994</v>
      </c>
      <c r="J34" s="133">
        <v>65946266.8904</v>
      </c>
      <c r="K34" s="133">
        <v>52697807.523399994</v>
      </c>
      <c r="L34" s="133">
        <v>53289338.652000003</v>
      </c>
      <c r="M34" s="133">
        <v>54261957.840700001</v>
      </c>
      <c r="N34" s="133">
        <v>830101613.51999998</v>
      </c>
      <c r="O34" s="134">
        <f>AU34</f>
        <v>0</v>
      </c>
      <c r="Q34" s="133">
        <f>199569079.71</f>
        <v>199569079.71000001</v>
      </c>
      <c r="R34" s="133">
        <v>200860552.38999999</v>
      </c>
      <c r="S34" s="133">
        <v>202152025.06</v>
      </c>
      <c r="T34" s="133">
        <f>205447358.79</f>
        <v>205447358.78999999</v>
      </c>
      <c r="U34" s="133">
        <v>52535108.549999997</v>
      </c>
      <c r="V34" s="133">
        <v>52660371.609999999</v>
      </c>
      <c r="W34" s="133">
        <v>54647830.259999998</v>
      </c>
      <c r="X34" s="133">
        <v>58880192.289999999</v>
      </c>
      <c r="Y34" s="137">
        <v>59954395.850000001</v>
      </c>
      <c r="Z34" s="133">
        <v>62596208.329999998</v>
      </c>
      <c r="AA34" s="133">
        <v>63422070.590000004</v>
      </c>
      <c r="AB34" s="135">
        <v>595214322.44999993</v>
      </c>
      <c r="AC34" s="134">
        <f>BI34</f>
        <v>0</v>
      </c>
      <c r="AF34" s="426">
        <f t="shared" si="2"/>
        <v>830101.61352000001</v>
      </c>
    </row>
    <row r="35" spans="1:32" ht="15" customHeight="1" outlineLevel="1">
      <c r="A35" s="138">
        <v>1203</v>
      </c>
      <c r="B35" s="132" t="s">
        <v>218</v>
      </c>
      <c r="C35" s="133"/>
      <c r="D35" s="133"/>
      <c r="E35" s="133"/>
      <c r="F35" s="133"/>
      <c r="G35" s="102"/>
      <c r="H35" s="133"/>
      <c r="I35" s="133"/>
      <c r="J35" s="133"/>
      <c r="K35" s="133"/>
      <c r="L35" s="133"/>
      <c r="M35" s="133"/>
      <c r="N35" s="133"/>
      <c r="O35" s="134">
        <f>AU35</f>
        <v>0</v>
      </c>
      <c r="Q35" s="133"/>
      <c r="R35" s="133"/>
      <c r="S35" s="133"/>
      <c r="T35" s="133"/>
      <c r="U35" s="133"/>
      <c r="V35" s="133"/>
      <c r="W35" s="133"/>
      <c r="X35" s="133"/>
      <c r="Y35" s="137"/>
      <c r="Z35" s="133"/>
      <c r="AA35" s="133"/>
      <c r="AB35" s="135"/>
      <c r="AC35" s="134">
        <f>BI35</f>
        <v>0</v>
      </c>
      <c r="AF35" s="426">
        <f t="shared" si="2"/>
        <v>0</v>
      </c>
    </row>
    <row r="36" spans="1:32">
      <c r="A36" s="138"/>
      <c r="B36" s="127" t="s">
        <v>543</v>
      </c>
      <c r="C36" s="140">
        <f>SUM(C37:C43)</f>
        <v>27828571119.689999</v>
      </c>
      <c r="D36" s="140">
        <f>SUM(D37:D43)</f>
        <v>27762682477.999996</v>
      </c>
      <c r="E36" s="140">
        <f>SUM(E37:E43)</f>
        <v>29079304828.188183</v>
      </c>
      <c r="F36" s="140">
        <f t="shared" ref="F36:O36" si="9">SUM(F37:F43)</f>
        <v>51731970812.850014</v>
      </c>
      <c r="G36" s="140">
        <f t="shared" si="9"/>
        <v>60592219574.769997</v>
      </c>
      <c r="H36" s="140">
        <f t="shared" si="9"/>
        <v>61921877140.662994</v>
      </c>
      <c r="I36" s="140">
        <f t="shared" si="9"/>
        <v>58221141226.880005</v>
      </c>
      <c r="J36" s="140">
        <f t="shared" si="9"/>
        <v>53694779308.480003</v>
      </c>
      <c r="K36" s="140">
        <v>49642837499.180008</v>
      </c>
      <c r="L36" s="140">
        <v>47899449779.009987</v>
      </c>
      <c r="M36" s="140">
        <v>45649678781.039993</v>
      </c>
      <c r="N36" s="140">
        <v>98531260841.924286</v>
      </c>
      <c r="O36" s="142">
        <f t="shared" si="9"/>
        <v>0</v>
      </c>
      <c r="Q36" s="140">
        <f>SUM(Q37:Q43)</f>
        <v>22215738484.120003</v>
      </c>
      <c r="R36" s="140">
        <f>SUM(R37:R43)</f>
        <v>22433574876.790001</v>
      </c>
      <c r="S36" s="140">
        <f t="shared" ref="S36:AC36" si="10">SUM(S37:S43)</f>
        <v>22496441884.430004</v>
      </c>
      <c r="T36" s="140">
        <f t="shared" si="10"/>
        <v>30683222298.959999</v>
      </c>
      <c r="U36" s="140">
        <f t="shared" si="10"/>
        <v>37010249724.970001</v>
      </c>
      <c r="V36" s="140">
        <f t="shared" si="10"/>
        <v>36508950144.5</v>
      </c>
      <c r="W36" s="140">
        <f t="shared" si="10"/>
        <v>35490966069.150002</v>
      </c>
      <c r="X36" s="140">
        <f t="shared" si="10"/>
        <v>33240440162.5</v>
      </c>
      <c r="Y36" s="140">
        <f t="shared" si="10"/>
        <v>30351439308.02</v>
      </c>
      <c r="Z36" s="140">
        <f t="shared" si="10"/>
        <v>29555652030.670002</v>
      </c>
      <c r="AA36" s="140">
        <f t="shared" si="10"/>
        <v>27868467055.14999</v>
      </c>
      <c r="AB36" s="143">
        <v>59446640484.789993</v>
      </c>
      <c r="AC36" s="142">
        <f t="shared" si="10"/>
        <v>0</v>
      </c>
      <c r="AE36" s="139"/>
      <c r="AF36" s="426">
        <f t="shared" si="2"/>
        <v>98531260.84192428</v>
      </c>
    </row>
    <row r="37" spans="1:32" ht="15" customHeight="1" outlineLevel="1">
      <c r="A37" s="138">
        <v>1401</v>
      </c>
      <c r="B37" s="132" t="s">
        <v>226</v>
      </c>
      <c r="C37" s="133">
        <v>2809319645.3300004</v>
      </c>
      <c r="D37" s="133">
        <v>1744870642.7599998</v>
      </c>
      <c r="E37" s="133">
        <v>1569572095.4899998</v>
      </c>
      <c r="F37" s="133">
        <v>19385262346.959999</v>
      </c>
      <c r="G37" s="102">
        <v>22223427539.649998</v>
      </c>
      <c r="H37" s="133">
        <v>20020141517.510002</v>
      </c>
      <c r="I37" s="133">
        <v>16075657050.710001</v>
      </c>
      <c r="J37" s="133">
        <v>13116815548.85</v>
      </c>
      <c r="K37" s="133">
        <v>11512564722.84</v>
      </c>
      <c r="L37" s="133">
        <v>10621485668</v>
      </c>
      <c r="M37" s="133">
        <v>9352437768.7699986</v>
      </c>
      <c r="N37" s="133">
        <v>41998818153.86927</v>
      </c>
      <c r="O37" s="134">
        <f t="shared" ref="O37:O43" si="11">AU37</f>
        <v>0</v>
      </c>
      <c r="Q37" s="133">
        <v>2774139527.7399998</v>
      </c>
      <c r="R37" s="133">
        <f>2114264390.73</f>
        <v>2114264390.73</v>
      </c>
      <c r="S37" s="133">
        <f>1356634832.72+5578050</f>
        <v>1362212882.72</v>
      </c>
      <c r="T37" s="133">
        <f>5647911803.45+1356086412.18</f>
        <v>7003998215.6300001</v>
      </c>
      <c r="U37" s="133">
        <f>7908312600.74+1990444585.43</f>
        <v>9898757186.1700001</v>
      </c>
      <c r="V37" s="133">
        <f>5158707810.51+2470814892.02</f>
        <v>7629522702.5300007</v>
      </c>
      <c r="W37" s="133">
        <f>2467817116.81+2762191968.05</f>
        <v>5230009084.8600006</v>
      </c>
      <c r="X37" s="133">
        <f>2863886655.69+1975304410.8</f>
        <v>4839191066.4899998</v>
      </c>
      <c r="Y37" s="133">
        <f>852854555.86+2167904057.84</f>
        <v>3020758613.7000003</v>
      </c>
      <c r="Z37" s="133">
        <f>134207670+2536231440.49</f>
        <v>2670439110.4899998</v>
      </c>
      <c r="AA37" s="133">
        <f>2614035581.16</f>
        <v>2614035581.1599998</v>
      </c>
      <c r="AB37" s="135">
        <v>24892141994.389999</v>
      </c>
      <c r="AC37" s="134">
        <f t="shared" ref="AC37:AC43" si="12">BI37</f>
        <v>0</v>
      </c>
      <c r="AD37" s="89">
        <f>+AB37/Q37</f>
        <v>8.9729235842253434</v>
      </c>
      <c r="AF37" s="426">
        <f t="shared" si="2"/>
        <v>41998818.153869271</v>
      </c>
    </row>
    <row r="38" spans="1:32" ht="15" customHeight="1" outlineLevel="1">
      <c r="A38" s="138" t="s">
        <v>544</v>
      </c>
      <c r="B38" s="132" t="s">
        <v>227</v>
      </c>
      <c r="C38" s="133">
        <v>10056446959.76</v>
      </c>
      <c r="D38" s="133">
        <v>9811392273.6100006</v>
      </c>
      <c r="E38" s="133">
        <v>9867391884.6800003</v>
      </c>
      <c r="F38" s="133">
        <v>12458021238.150002</v>
      </c>
      <c r="G38" s="102">
        <v>15227660053.310005</v>
      </c>
      <c r="H38" s="133">
        <v>18148611972.212997</v>
      </c>
      <c r="I38" s="133">
        <v>20190374181.440002</v>
      </c>
      <c r="J38" s="133">
        <v>20750074197.849991</v>
      </c>
      <c r="K38" s="133">
        <v>20471835477.07</v>
      </c>
      <c r="L38" s="133">
        <v>19404108596.359997</v>
      </c>
      <c r="M38" s="133">
        <v>18328646076.319992</v>
      </c>
      <c r="N38" s="133">
        <v>21419530466.155006</v>
      </c>
      <c r="O38" s="134">
        <f t="shared" si="11"/>
        <v>0</v>
      </c>
      <c r="Q38" s="133">
        <v>9125194053.9300003</v>
      </c>
      <c r="R38" s="133">
        <f>9162590160.51</f>
        <v>9162590160.5100002</v>
      </c>
      <c r="S38" s="133">
        <v>8819485077.6200027</v>
      </c>
      <c r="T38" s="133">
        <f>9956934336.41</f>
        <v>9956934336.4099998</v>
      </c>
      <c r="U38" s="133">
        <f>11760416391.26</f>
        <v>11760416391.26</v>
      </c>
      <c r="V38" s="133">
        <f>12927394842.74</f>
        <v>12927394842.74</v>
      </c>
      <c r="W38" s="133">
        <f>13764460899.18</f>
        <v>13764460899.18</v>
      </c>
      <c r="X38" s="133">
        <f>14388446844.69</f>
        <v>14388446844.690001</v>
      </c>
      <c r="Y38" s="133">
        <v>14533352422.73</v>
      </c>
      <c r="Z38" s="133">
        <v>13667508828.639999</v>
      </c>
      <c r="AA38" s="133">
        <f>12003990774.47+1354230.33</f>
        <v>12005345004.799999</v>
      </c>
      <c r="AB38" s="135">
        <v>10131853460.590002</v>
      </c>
      <c r="AC38" s="134">
        <f t="shared" si="12"/>
        <v>0</v>
      </c>
      <c r="AD38" s="89">
        <f>+AB38/Q38</f>
        <v>1.1103164930751754</v>
      </c>
      <c r="AF38" s="426">
        <f t="shared" si="2"/>
        <v>21419530.466155007</v>
      </c>
    </row>
    <row r="39" spans="1:32" ht="15" customHeight="1" outlineLevel="1">
      <c r="A39" s="138">
        <v>1500</v>
      </c>
      <c r="B39" s="132" t="s">
        <v>228</v>
      </c>
      <c r="C39" s="133">
        <v>12662458203.599998</v>
      </c>
      <c r="D39" s="133">
        <v>13904676249.379999</v>
      </c>
      <c r="E39" s="133">
        <v>15137744188.750002</v>
      </c>
      <c r="F39" s="133">
        <v>17037314410.270004</v>
      </c>
      <c r="G39" s="102">
        <v>19232493348.299984</v>
      </c>
      <c r="H39" s="133">
        <v>20600469739.209991</v>
      </c>
      <c r="I39" s="133">
        <v>18821119957.840004</v>
      </c>
      <c r="J39" s="133">
        <v>16704351511.210005</v>
      </c>
      <c r="K39" s="133">
        <v>14603233906.150002</v>
      </c>
      <c r="L39" s="133">
        <v>14230129622.039997</v>
      </c>
      <c r="M39" s="133">
        <v>15248690469.370003</v>
      </c>
      <c r="N39" s="133">
        <v>25107623477.75</v>
      </c>
      <c r="O39" s="134">
        <f t="shared" si="11"/>
        <v>0</v>
      </c>
      <c r="Q39" s="133">
        <f>8532346986.99+11135936.16</f>
        <v>8543482923.1499996</v>
      </c>
      <c r="R39" s="133">
        <f>8786006262.24+11135936.16</f>
        <v>8797142198.3999996</v>
      </c>
      <c r="S39" s="133">
        <f>10092711306.34+11135936.16</f>
        <v>10103847242.5</v>
      </c>
      <c r="T39" s="133">
        <f>11128951016.63+11135936.16</f>
        <v>11140086952.789999</v>
      </c>
      <c r="U39" s="133">
        <f>12494789135.46+11135936.16</f>
        <v>12505925071.619999</v>
      </c>
      <c r="V39" s="133">
        <f>13258191962.93+11135936.16</f>
        <v>13269327899.09</v>
      </c>
      <c r="W39" s="133">
        <f>13946614407.43+11135936.16</f>
        <v>13957750343.59</v>
      </c>
      <c r="X39" s="133">
        <f>11680282400.61+11135936.16</f>
        <v>11691418336.77</v>
      </c>
      <c r="Y39" s="133">
        <f>10636837000.59+11135936.16</f>
        <v>10647972936.75</v>
      </c>
      <c r="Z39" s="133">
        <f>10753229355.39+11135936.16</f>
        <v>10764365291.549999</v>
      </c>
      <c r="AA39" s="133">
        <v>11057168678.769993</v>
      </c>
      <c r="AB39" s="135">
        <v>18228481045.969997</v>
      </c>
      <c r="AC39" s="134">
        <f t="shared" si="12"/>
        <v>0</v>
      </c>
      <c r="AD39" s="89">
        <f>+AB39/Q39</f>
        <v>2.1336123932052198</v>
      </c>
      <c r="AF39" s="426">
        <f t="shared" si="2"/>
        <v>25107623.47775</v>
      </c>
    </row>
    <row r="40" spans="1:32" ht="15" customHeight="1" outlineLevel="1">
      <c r="A40" s="138">
        <v>1501</v>
      </c>
      <c r="B40" s="132" t="s">
        <v>545</v>
      </c>
      <c r="C40" s="133">
        <v>2341917906.7299995</v>
      </c>
      <c r="D40" s="133">
        <v>2261156538.8299994</v>
      </c>
      <c r="E40" s="133">
        <v>2488598597.2081809</v>
      </c>
      <c r="F40" s="133">
        <v>2513697599.3299999</v>
      </c>
      <c r="G40" s="102">
        <v>3419813563.9900002</v>
      </c>
      <c r="H40" s="133">
        <v>2587021105.2400007</v>
      </c>
      <c r="I40" s="133">
        <v>2527656627.5299997</v>
      </c>
      <c r="J40" s="133">
        <v>2608372790.8600001</v>
      </c>
      <c r="K40" s="133">
        <v>2600168005.6599998</v>
      </c>
      <c r="L40" s="133">
        <v>3315345119.1400003</v>
      </c>
      <c r="M40" s="133">
        <v>2280605305.9099998</v>
      </c>
      <c r="N40" s="133">
        <v>3626369384.2800016</v>
      </c>
      <c r="O40" s="134">
        <f t="shared" si="11"/>
        <v>0</v>
      </c>
      <c r="Q40" s="133">
        <v>2289507390.8800001</v>
      </c>
      <c r="R40" s="133">
        <f>2672016851.58</f>
        <v>2672016851.5799999</v>
      </c>
      <c r="S40" s="133">
        <v>2348910114.8200011</v>
      </c>
      <c r="T40" s="133">
        <v>2729905013.0300002</v>
      </c>
      <c r="U40" s="133">
        <f>2981846919.12</f>
        <v>2981846919.1199999</v>
      </c>
      <c r="V40" s="133">
        <v>2758408241.1199999</v>
      </c>
      <c r="W40" s="133">
        <f>2658042186.25</f>
        <v>2658042186.25</v>
      </c>
      <c r="X40" s="133">
        <v>2511587449.2600002</v>
      </c>
      <c r="Y40" s="133">
        <f>2391180783.48</f>
        <v>2391180783.48</v>
      </c>
      <c r="Z40" s="133">
        <f>2569702208.01</f>
        <v>2569702208.0100002</v>
      </c>
      <c r="AA40" s="133">
        <v>2408253367.7300005</v>
      </c>
      <c r="AB40" s="135">
        <v>2263703615.6499996</v>
      </c>
      <c r="AC40" s="134">
        <f t="shared" si="12"/>
        <v>0</v>
      </c>
      <c r="AD40" s="89">
        <f>+AB40/Q40</f>
        <v>0.98872955146037655</v>
      </c>
      <c r="AF40" s="426">
        <f t="shared" si="2"/>
        <v>3626369.3842800017</v>
      </c>
    </row>
    <row r="41" spans="1:32" ht="15" customHeight="1" outlineLevel="1">
      <c r="A41" s="138">
        <v>1502</v>
      </c>
      <c r="B41" s="132" t="s">
        <v>546</v>
      </c>
      <c r="C41" s="133"/>
      <c r="D41" s="133"/>
      <c r="E41" s="133"/>
      <c r="F41" s="133"/>
      <c r="G41" s="102"/>
      <c r="H41" s="133"/>
      <c r="I41" s="133"/>
      <c r="J41" s="133"/>
      <c r="K41" s="133"/>
      <c r="L41" s="133"/>
      <c r="M41" s="133"/>
      <c r="N41" s="133">
        <v>1133973505.99</v>
      </c>
      <c r="O41" s="134">
        <f t="shared" si="11"/>
        <v>0</v>
      </c>
      <c r="Q41" s="133"/>
      <c r="R41" s="133"/>
      <c r="S41" s="133"/>
      <c r="T41" s="133"/>
      <c r="U41" s="133"/>
      <c r="V41" s="133"/>
      <c r="W41" s="133"/>
      <c r="X41" s="133"/>
      <c r="Y41" s="133"/>
      <c r="Z41" s="133"/>
      <c r="AA41" s="133"/>
      <c r="AB41" s="135">
        <v>2122543920.4200001</v>
      </c>
      <c r="AC41" s="134">
        <f t="shared" si="12"/>
        <v>0</v>
      </c>
      <c r="AF41" s="426">
        <f t="shared" si="2"/>
        <v>1133973.50599</v>
      </c>
    </row>
    <row r="42" spans="1:32" ht="15" customHeight="1" outlineLevel="1">
      <c r="A42" s="138">
        <v>1541</v>
      </c>
      <c r="B42" s="132" t="s">
        <v>230</v>
      </c>
      <c r="C42" s="133">
        <v>1141471258.1100001</v>
      </c>
      <c r="D42" s="133">
        <v>1223629627.26</v>
      </c>
      <c r="E42" s="133">
        <v>1199040915.9000001</v>
      </c>
      <c r="F42" s="133">
        <v>1520718071.98</v>
      </c>
      <c r="G42" s="102">
        <v>1671867923.3600001</v>
      </c>
      <c r="H42" s="133">
        <v>1748675660.3299999</v>
      </c>
      <c r="I42" s="133">
        <v>1789376263.1999998</v>
      </c>
      <c r="J42" s="133">
        <v>1698208113.55</v>
      </c>
      <c r="K42" s="133">
        <v>1638078241.3000002</v>
      </c>
      <c r="L42" s="133">
        <v>1541134453.2</v>
      </c>
      <c r="M42" s="133">
        <v>1652052840.4000001</v>
      </c>
      <c r="N42" s="133">
        <v>5981249009.1300001</v>
      </c>
      <c r="O42" s="134">
        <f t="shared" si="11"/>
        <v>0</v>
      </c>
      <c r="Q42" s="133">
        <f>635751064.83</f>
        <v>635751064.83000004</v>
      </c>
      <c r="R42" s="133">
        <f>839897751.98</f>
        <v>839897751.98000002</v>
      </c>
      <c r="S42" s="133">
        <v>961230940.01999998</v>
      </c>
      <c r="T42" s="133">
        <f>951542154.35</f>
        <v>951542154.35000002</v>
      </c>
      <c r="U42" s="133">
        <f>962548530.05</f>
        <v>962548530.04999995</v>
      </c>
      <c r="V42" s="133">
        <f>1023540832.27</f>
        <v>1023540832.27</v>
      </c>
      <c r="W42" s="133">
        <f>979947928.52</f>
        <v>979947928.51999998</v>
      </c>
      <c r="X42" s="133">
        <v>909040838.53999996</v>
      </c>
      <c r="Y42" s="133">
        <f>857418924.61</f>
        <v>857418924.61000001</v>
      </c>
      <c r="Z42" s="133">
        <v>982880965.23000002</v>
      </c>
      <c r="AA42" s="133">
        <v>882908795.93999982</v>
      </c>
      <c r="AB42" s="135">
        <v>2714128754.0199995</v>
      </c>
      <c r="AC42" s="134">
        <f t="shared" si="12"/>
        <v>0</v>
      </c>
      <c r="AD42" s="89">
        <f>+AB42/Q42</f>
        <v>4.2691690256873702</v>
      </c>
      <c r="AF42" s="426">
        <f t="shared" si="2"/>
        <v>5981249.0091300001</v>
      </c>
    </row>
    <row r="43" spans="1:32" ht="15" customHeight="1" outlineLevel="1">
      <c r="A43" s="138">
        <v>1551</v>
      </c>
      <c r="B43" s="132" t="s">
        <v>547</v>
      </c>
      <c r="C43" s="133">
        <f>-1130139623.27-52903230.57</f>
        <v>-1183042853.8399999</v>
      </c>
      <c r="D43" s="133">
        <v>-1183042853.8399999</v>
      </c>
      <c r="E43" s="133">
        <v>-1183042853.8399999</v>
      </c>
      <c r="F43" s="133">
        <v>-1183042853.8399999</v>
      </c>
      <c r="G43" s="102">
        <v>-1183042853.8399999</v>
      </c>
      <c r="H43" s="133">
        <v>-1183042853.8399999</v>
      </c>
      <c r="I43" s="133">
        <v>-1183042853.8399999</v>
      </c>
      <c r="J43" s="133">
        <v>-1183042853.8399999</v>
      </c>
      <c r="K43" s="133">
        <v>-1183042853.8399999</v>
      </c>
      <c r="L43" s="133">
        <v>-1212753679.73</v>
      </c>
      <c r="M43" s="133">
        <v>-1212753679.73</v>
      </c>
      <c r="N43" s="133">
        <v>-736303155.25</v>
      </c>
      <c r="O43" s="134">
        <f t="shared" si="11"/>
        <v>0</v>
      </c>
      <c r="Q43" s="133">
        <f>-1152336476.41</f>
        <v>-1152336476.4100001</v>
      </c>
      <c r="R43" s="133">
        <f>-1152336476.41</f>
        <v>-1152336476.4100001</v>
      </c>
      <c r="S43" s="133">
        <v>-1099244373.25</v>
      </c>
      <c r="T43" s="133">
        <v>-1099244373.25</v>
      </c>
      <c r="U43" s="133">
        <v>-1099244373.25</v>
      </c>
      <c r="V43" s="133">
        <v>-1099244373.25</v>
      </c>
      <c r="W43" s="133">
        <v>-1099244373.25</v>
      </c>
      <c r="X43" s="133">
        <v>-1099244373.25</v>
      </c>
      <c r="Y43" s="133">
        <v>-1099244373.25</v>
      </c>
      <c r="Z43" s="133">
        <v>-1099244373.25</v>
      </c>
      <c r="AA43" s="133">
        <f>+Z43</f>
        <v>-1099244373.25</v>
      </c>
      <c r="AB43" s="135">
        <v>-906212306.25</v>
      </c>
      <c r="AC43" s="134">
        <f t="shared" si="12"/>
        <v>0</v>
      </c>
      <c r="AF43" s="426">
        <f t="shared" si="2"/>
        <v>-736303.15524999995</v>
      </c>
    </row>
    <row r="44" spans="1:32">
      <c r="A44" s="138"/>
      <c r="B44" s="144" t="s">
        <v>548</v>
      </c>
      <c r="C44" s="133">
        <f>SUM(C45:C49)</f>
        <v>1445662708.3600001</v>
      </c>
      <c r="D44" s="133">
        <f>SUM(D45:D49)</f>
        <v>1847709865.8200002</v>
      </c>
      <c r="E44" s="133">
        <f>SUM(E45:E49)</f>
        <v>5514534255.8400002</v>
      </c>
      <c r="F44" s="133">
        <f>SUM(F45:F49)</f>
        <v>2982696351.23</v>
      </c>
      <c r="G44" s="102">
        <v>3490141836.4499998</v>
      </c>
      <c r="H44" s="133">
        <f t="shared" ref="H44:O44" si="13">SUM(H45:H49)</f>
        <v>1433167399.0999999</v>
      </c>
      <c r="I44" s="133">
        <f t="shared" si="13"/>
        <v>2415890189.3000002</v>
      </c>
      <c r="J44" s="133">
        <f t="shared" si="13"/>
        <v>2486371560.6399999</v>
      </c>
      <c r="K44" s="133">
        <v>2237076503.7200003</v>
      </c>
      <c r="L44" s="133">
        <v>1889908620.0599999</v>
      </c>
      <c r="M44" s="133">
        <v>1926101288.8199999</v>
      </c>
      <c r="N44" s="133">
        <v>2374430709.46</v>
      </c>
      <c r="O44" s="134">
        <f t="shared" si="13"/>
        <v>0</v>
      </c>
      <c r="Q44" s="133">
        <f>SUM(Q45:Q49)</f>
        <v>0</v>
      </c>
      <c r="R44" s="133">
        <f>SUM(R45:R49)</f>
        <v>614055539.49000001</v>
      </c>
      <c r="S44" s="133">
        <f t="shared" ref="S44:AC44" si="14">SUM(S45:S49)</f>
        <v>1083469866.95</v>
      </c>
      <c r="T44" s="133">
        <f t="shared" si="14"/>
        <v>1101366930.3499999</v>
      </c>
      <c r="U44" s="133">
        <f t="shared" si="14"/>
        <v>695703739.95000005</v>
      </c>
      <c r="V44" s="133">
        <f t="shared" si="14"/>
        <v>719395044.84000003</v>
      </c>
      <c r="W44" s="133">
        <f t="shared" si="14"/>
        <v>572979282.05999994</v>
      </c>
      <c r="X44" s="133">
        <f t="shared" si="14"/>
        <v>414641104.95000005</v>
      </c>
      <c r="Y44" s="133">
        <f t="shared" si="14"/>
        <v>616260155.35000002</v>
      </c>
      <c r="Z44" s="133">
        <f t="shared" si="14"/>
        <v>364767425.75999999</v>
      </c>
      <c r="AA44" s="133">
        <f t="shared" si="14"/>
        <v>718872079.86000001</v>
      </c>
      <c r="AB44" s="135">
        <v>2060005840.6700001</v>
      </c>
      <c r="AC44" s="134">
        <f t="shared" si="14"/>
        <v>0</v>
      </c>
      <c r="AD44" s="89">
        <f>+AB44/1000</f>
        <v>2060005.8406700001</v>
      </c>
      <c r="AF44" s="426">
        <f t="shared" si="2"/>
        <v>2374430.70946</v>
      </c>
    </row>
    <row r="45" spans="1:32" ht="15" customHeight="1" outlineLevel="1">
      <c r="A45" s="145">
        <v>1801</v>
      </c>
      <c r="B45" s="146" t="s">
        <v>549</v>
      </c>
      <c r="C45" s="133">
        <v>221276722.22</v>
      </c>
      <c r="D45" s="133">
        <v>230115611.11000001</v>
      </c>
      <c r="E45" s="133">
        <v>197804500</v>
      </c>
      <c r="F45" s="133">
        <f>346216366.16+2140700-500000</f>
        <v>347857066.16000003</v>
      </c>
      <c r="G45" s="102">
        <v>477138254.75999999</v>
      </c>
      <c r="H45" s="133">
        <v>339796247.62</v>
      </c>
      <c r="I45" s="133">
        <v>333306233.79000002</v>
      </c>
      <c r="J45" s="133">
        <v>330377360.18000001</v>
      </c>
      <c r="K45" s="133">
        <v>56605158.870000005</v>
      </c>
      <c r="L45" s="133">
        <v>47852218.640000001</v>
      </c>
      <c r="M45" s="133">
        <v>27901579.870000001</v>
      </c>
      <c r="N45" s="133"/>
      <c r="O45" s="134">
        <f>AU45</f>
        <v>0</v>
      </c>
      <c r="Q45" s="133"/>
      <c r="R45" s="133"/>
      <c r="S45" s="133"/>
      <c r="T45" s="133"/>
      <c r="U45" s="133"/>
      <c r="V45" s="133"/>
      <c r="W45" s="137"/>
      <c r="X45" s="133"/>
      <c r="Y45" s="133"/>
      <c r="Z45" s="133"/>
      <c r="AA45" s="133"/>
      <c r="AB45" s="135">
        <v>16113833.98</v>
      </c>
      <c r="AC45" s="134">
        <f>BI45</f>
        <v>0</v>
      </c>
      <c r="AF45" s="426">
        <f t="shared" si="2"/>
        <v>0</v>
      </c>
    </row>
    <row r="46" spans="1:32" ht="15" customHeight="1" outlineLevel="1">
      <c r="A46" s="138">
        <v>1802</v>
      </c>
      <c r="B46" s="146" t="s">
        <v>550</v>
      </c>
      <c r="C46" s="133">
        <v>1222222877.2</v>
      </c>
      <c r="D46" s="133">
        <v>1615431145.7700002</v>
      </c>
      <c r="E46" s="133">
        <v>1532998649.8700001</v>
      </c>
      <c r="F46" s="133">
        <v>1578351379.0999999</v>
      </c>
      <c r="G46" s="102">
        <v>1196922365.7199998</v>
      </c>
      <c r="H46" s="133">
        <v>1091208042.54</v>
      </c>
      <c r="I46" s="133">
        <v>1921858994.0900002</v>
      </c>
      <c r="J46" s="133">
        <v>2058119016.21</v>
      </c>
      <c r="K46" s="133">
        <v>2143899752.03</v>
      </c>
      <c r="L46" s="133">
        <v>1839893292.4799998</v>
      </c>
      <c r="M46" s="133">
        <v>1896036600.01</v>
      </c>
      <c r="N46" s="133">
        <v>2374430709.46</v>
      </c>
      <c r="O46" s="134">
        <f>AU46</f>
        <v>0</v>
      </c>
      <c r="Q46" s="133"/>
      <c r="R46" s="133">
        <v>614055539.49000001</v>
      </c>
      <c r="S46" s="133">
        <f>885480366.48-1510499.53-500000</f>
        <v>883469866.95000005</v>
      </c>
      <c r="T46" s="133">
        <f>952877429.88-1510499.53</f>
        <v>951366930.35000002</v>
      </c>
      <c r="U46" s="133">
        <f>696791264.48-1510499.53</f>
        <v>695280764.95000005</v>
      </c>
      <c r="V46" s="133">
        <f>644705544.37-1510499.53</f>
        <v>643195044.84000003</v>
      </c>
      <c r="W46" s="133">
        <f>524765054.32</f>
        <v>524765054.31999999</v>
      </c>
      <c r="X46" s="133">
        <f>393408604.47</f>
        <v>393408604.47000003</v>
      </c>
      <c r="Y46" s="133">
        <f>613917454.88</f>
        <v>613917454.88</v>
      </c>
      <c r="Z46" s="133">
        <f>365452565.29</f>
        <v>365452565.29000002</v>
      </c>
      <c r="AA46" s="133">
        <f>720931303.89-2884584.03</f>
        <v>718046719.86000001</v>
      </c>
      <c r="AB46" s="135">
        <v>2043892006.6900001</v>
      </c>
      <c r="AC46" s="134">
        <f>BI46</f>
        <v>0</v>
      </c>
      <c r="AF46" s="426">
        <f t="shared" si="2"/>
        <v>2374430.70946</v>
      </c>
    </row>
    <row r="47" spans="1:32" ht="15" customHeight="1" outlineLevel="1">
      <c r="A47" s="138">
        <v>1803</v>
      </c>
      <c r="B47" s="146" t="s">
        <v>551</v>
      </c>
      <c r="C47" s="133">
        <v>2163108.9399999985</v>
      </c>
      <c r="D47" s="133">
        <v>2163108.9399999985</v>
      </c>
      <c r="E47" s="133">
        <v>3783731105.9699998</v>
      </c>
      <c r="F47" s="133">
        <v>1056487905.97</v>
      </c>
      <c r="G47" s="102">
        <v>1816081215.97</v>
      </c>
      <c r="H47" s="133">
        <v>2163108.9400000051</v>
      </c>
      <c r="I47" s="133">
        <v>160724961.41999999</v>
      </c>
      <c r="J47" s="133">
        <v>97875184.25</v>
      </c>
      <c r="K47" s="133">
        <v>36571592.82</v>
      </c>
      <c r="L47" s="133">
        <v>2163108.9400000051</v>
      </c>
      <c r="M47" s="133">
        <v>2163108.9400000051</v>
      </c>
      <c r="N47" s="133"/>
      <c r="O47" s="134">
        <f>AU47</f>
        <v>0</v>
      </c>
      <c r="Q47" s="133">
        <f>60907737.49+1344010-62251747.49</f>
        <v>0</v>
      </c>
      <c r="R47" s="133">
        <f>60907737.49+1344010-62251747.49</f>
        <v>0</v>
      </c>
      <c r="S47" s="133">
        <f>260907737.49+1344010-62251747.49</f>
        <v>200000000</v>
      </c>
      <c r="T47" s="133">
        <f>210907737.49+1344010-62251747.49</f>
        <v>150000000</v>
      </c>
      <c r="U47" s="133">
        <f>61330712.49+1344010-62251747.49</f>
        <v>422975</v>
      </c>
      <c r="V47" s="133">
        <f>137107737.49+1344010-62251747.49</f>
        <v>76200000</v>
      </c>
      <c r="W47" s="133">
        <f>110632464.76+1344010-63762247.02</f>
        <v>48214227.740000002</v>
      </c>
      <c r="X47" s="133">
        <f>83650737.5+1344010-63762247.02</f>
        <v>21232500.479999997</v>
      </c>
      <c r="Y47" s="133">
        <f>64760937.49+1344010-63762247.02</f>
        <v>2342700.4699999988</v>
      </c>
      <c r="Z47" s="133">
        <f>61733097.49+1344010-63762247.02</f>
        <v>-685139.53000000119</v>
      </c>
      <c r="AA47" s="133">
        <f>61733097.49+1344010-62251747.49</f>
        <v>825360</v>
      </c>
      <c r="AB47" s="135"/>
      <c r="AC47" s="134">
        <f>BI47</f>
        <v>0</v>
      </c>
      <c r="AF47" s="426">
        <f t="shared" si="2"/>
        <v>0</v>
      </c>
    </row>
    <row r="48" spans="1:32" ht="22.5" customHeight="1" outlineLevel="1">
      <c r="A48" s="138">
        <v>1804</v>
      </c>
      <c r="B48" s="146" t="s">
        <v>552</v>
      </c>
      <c r="C48" s="133"/>
      <c r="D48" s="133"/>
      <c r="E48" s="133"/>
      <c r="F48" s="133"/>
      <c r="G48" s="102"/>
      <c r="H48" s="133"/>
      <c r="I48" s="133"/>
      <c r="J48" s="133"/>
      <c r="K48" s="133"/>
      <c r="L48" s="133"/>
      <c r="M48" s="133"/>
      <c r="N48" s="133"/>
      <c r="O48" s="134">
        <f>AU48</f>
        <v>0</v>
      </c>
      <c r="Q48" s="133"/>
      <c r="R48" s="133"/>
      <c r="S48" s="133"/>
      <c r="T48" s="133"/>
      <c r="U48" s="133"/>
      <c r="V48" s="133"/>
      <c r="W48" s="137"/>
      <c r="X48" s="133"/>
      <c r="Y48" s="133"/>
      <c r="Z48" s="133"/>
      <c r="AA48" s="133"/>
      <c r="AB48" s="135"/>
      <c r="AC48" s="134">
        <f>BI48</f>
        <v>0</v>
      </c>
      <c r="AF48" s="426">
        <f t="shared" si="2"/>
        <v>0</v>
      </c>
    </row>
    <row r="49" spans="1:32" ht="15" customHeight="1" outlineLevel="1">
      <c r="A49" s="138">
        <v>1810</v>
      </c>
      <c r="B49" s="147" t="s">
        <v>553</v>
      </c>
      <c r="C49" s="133"/>
      <c r="D49" s="133"/>
      <c r="E49" s="133"/>
      <c r="F49" s="133"/>
      <c r="G49" s="102"/>
      <c r="H49" s="133"/>
      <c r="I49" s="133"/>
      <c r="J49" s="133"/>
      <c r="K49" s="133"/>
      <c r="L49" s="133"/>
      <c r="M49" s="133"/>
      <c r="N49" s="133"/>
      <c r="O49" s="134">
        <f>AU49</f>
        <v>0</v>
      </c>
      <c r="Q49" s="133"/>
      <c r="R49" s="133"/>
      <c r="S49" s="133"/>
      <c r="T49" s="133"/>
      <c r="U49" s="133"/>
      <c r="V49" s="133"/>
      <c r="W49" s="137"/>
      <c r="X49" s="133"/>
      <c r="Y49" s="133"/>
      <c r="Z49" s="133"/>
      <c r="AA49" s="133"/>
      <c r="AB49" s="135"/>
      <c r="AC49" s="134">
        <f>BI49</f>
        <v>0</v>
      </c>
      <c r="AF49" s="426">
        <f t="shared" si="2"/>
        <v>0</v>
      </c>
    </row>
    <row r="50" spans="1:32">
      <c r="A50" s="138"/>
      <c r="B50" s="127" t="s">
        <v>554</v>
      </c>
      <c r="C50" s="133">
        <f t="shared" ref="C50:J50" si="15">SUM(C51:C55)</f>
        <v>7471976.2999999998</v>
      </c>
      <c r="D50" s="133">
        <f t="shared" si="15"/>
        <v>33027685.069999997</v>
      </c>
      <c r="E50" s="133">
        <f t="shared" si="15"/>
        <v>55743355.670000002</v>
      </c>
      <c r="F50" s="133">
        <f t="shared" si="15"/>
        <v>33410161.150000095</v>
      </c>
      <c r="G50" s="137">
        <f t="shared" si="15"/>
        <v>22745645.420000076</v>
      </c>
      <c r="H50" s="133">
        <f t="shared" si="15"/>
        <v>27638259.869999997</v>
      </c>
      <c r="I50" s="133">
        <f t="shared" si="15"/>
        <v>20777409</v>
      </c>
      <c r="J50" s="133">
        <f t="shared" si="15"/>
        <v>31372173.909999996</v>
      </c>
      <c r="K50" s="133">
        <v>50221581.310000002</v>
      </c>
      <c r="L50" s="133">
        <v>64892850.939999998</v>
      </c>
      <c r="M50" s="133">
        <v>37560680.329999998</v>
      </c>
      <c r="N50" s="133">
        <v>160548831.96000001</v>
      </c>
      <c r="O50" s="134">
        <f>SUM(O51:O55)</f>
        <v>0</v>
      </c>
      <c r="Q50" s="133">
        <f>SUM(Q51:Q55)</f>
        <v>67604858.129999995</v>
      </c>
      <c r="R50" s="133">
        <f>SUM(R51:R55)</f>
        <v>64848252.079999998</v>
      </c>
      <c r="S50" s="133">
        <f t="shared" ref="S50:AC50" si="16">SUM(S51:S55)</f>
        <v>69157069.140000001</v>
      </c>
      <c r="T50" s="133">
        <f t="shared" si="16"/>
        <v>84818155.209999993</v>
      </c>
      <c r="U50" s="133">
        <f t="shared" si="16"/>
        <v>59518554.149999999</v>
      </c>
      <c r="V50" s="133">
        <f t="shared" si="16"/>
        <v>60276426.310000002</v>
      </c>
      <c r="W50" s="137">
        <f t="shared" si="16"/>
        <v>42013776.909999996</v>
      </c>
      <c r="X50" s="133">
        <f t="shared" si="16"/>
        <v>40785083.810000002</v>
      </c>
      <c r="Y50" s="133">
        <f t="shared" si="16"/>
        <v>52230313.710000001</v>
      </c>
      <c r="Z50" s="133">
        <f t="shared" si="16"/>
        <v>18645977.050000001</v>
      </c>
      <c r="AA50" s="133">
        <f t="shared" si="16"/>
        <v>33561158.600000001</v>
      </c>
      <c r="AB50" s="135">
        <v>143164080.67000002</v>
      </c>
      <c r="AC50" s="134">
        <f t="shared" si="16"/>
        <v>0</v>
      </c>
      <c r="AF50" s="426">
        <f t="shared" si="2"/>
        <v>160548.83196000001</v>
      </c>
    </row>
    <row r="51" spans="1:32" ht="15" customHeight="1" outlineLevel="1">
      <c r="A51" s="138"/>
      <c r="B51" s="132" t="s">
        <v>555</v>
      </c>
      <c r="C51" s="133">
        <v>7471976.2999999998</v>
      </c>
      <c r="D51" s="133">
        <v>33027685.069999997</v>
      </c>
      <c r="E51" s="133">
        <v>55743355.670000002</v>
      </c>
      <c r="F51" s="133">
        <v>33410161.150000095</v>
      </c>
      <c r="G51" s="102">
        <v>22745645.420000076</v>
      </c>
      <c r="H51" s="133">
        <v>27638259.869999997</v>
      </c>
      <c r="I51" s="133">
        <v>20777409</v>
      </c>
      <c r="J51" s="133">
        <v>31372173.909999996</v>
      </c>
      <c r="K51" s="133">
        <v>50221581.310000002</v>
      </c>
      <c r="L51" s="133">
        <v>64892850.939999998</v>
      </c>
      <c r="M51" s="133">
        <v>37560680.329999998</v>
      </c>
      <c r="N51" s="133"/>
      <c r="O51" s="134">
        <f t="shared" ref="O51:O57" si="17">SUM(O52:O56)</f>
        <v>0</v>
      </c>
      <c r="Q51" s="133">
        <f>62557165.16</f>
        <v>62557165.159999996</v>
      </c>
      <c r="R51" s="133">
        <v>49800559.109999999</v>
      </c>
      <c r="S51" s="133">
        <f>54109376.17</f>
        <v>54109376.170000002</v>
      </c>
      <c r="T51" s="133">
        <f>69770462.24</f>
        <v>69770462.239999995</v>
      </c>
      <c r="U51" s="133">
        <f>54470861.18</f>
        <v>54470861.18</v>
      </c>
      <c r="V51" s="133">
        <f>55228733.34</f>
        <v>55228733.340000004</v>
      </c>
      <c r="W51" s="133">
        <f>36966083.94</f>
        <v>36966083.939999998</v>
      </c>
      <c r="X51" s="133">
        <f>35833390.84-96000</f>
        <v>35737390.840000004</v>
      </c>
      <c r="Y51" s="133">
        <f>47182620.74</f>
        <v>47182620.740000002</v>
      </c>
      <c r="Z51" s="133">
        <f>13598284.08</f>
        <v>13598284.08</v>
      </c>
      <c r="AA51" s="133">
        <f>32361158.6+1200000</f>
        <v>33561158.600000001</v>
      </c>
      <c r="AB51" s="135"/>
      <c r="AC51" s="134">
        <f t="shared" ref="AC51:AC57" si="18">SUM(AC52:AC56)</f>
        <v>0</v>
      </c>
      <c r="AF51" s="426">
        <f t="shared" si="2"/>
        <v>0</v>
      </c>
    </row>
    <row r="52" spans="1:32" ht="15" customHeight="1" outlineLevel="1">
      <c r="A52" s="138"/>
      <c r="B52" s="132" t="s">
        <v>556</v>
      </c>
      <c r="C52" s="133"/>
      <c r="D52" s="133"/>
      <c r="E52" s="133"/>
      <c r="F52" s="133"/>
      <c r="G52" s="102"/>
      <c r="H52" s="133"/>
      <c r="I52" s="133"/>
      <c r="J52" s="133"/>
      <c r="K52" s="133"/>
      <c r="L52" s="133"/>
      <c r="M52" s="133"/>
      <c r="N52" s="133"/>
      <c r="O52" s="134">
        <f t="shared" si="17"/>
        <v>0</v>
      </c>
      <c r="Q52" s="133"/>
      <c r="R52" s="133"/>
      <c r="S52" s="133"/>
      <c r="T52" s="133"/>
      <c r="U52" s="133"/>
      <c r="V52" s="133"/>
      <c r="W52" s="133"/>
      <c r="X52" s="133"/>
      <c r="Y52" s="133"/>
      <c r="Z52" s="133"/>
      <c r="AA52" s="133"/>
      <c r="AB52" s="135">
        <v>143164080.67000002</v>
      </c>
      <c r="AC52" s="134">
        <f t="shared" si="18"/>
        <v>0</v>
      </c>
      <c r="AF52" s="426">
        <f t="shared" si="2"/>
        <v>0</v>
      </c>
    </row>
    <row r="53" spans="1:32" ht="15" customHeight="1" outlineLevel="1">
      <c r="A53" s="138"/>
      <c r="B53" s="132" t="s">
        <v>557</v>
      </c>
      <c r="C53" s="133"/>
      <c r="D53" s="133"/>
      <c r="E53" s="133"/>
      <c r="F53" s="133"/>
      <c r="G53" s="102"/>
      <c r="H53" s="133"/>
      <c r="I53" s="133"/>
      <c r="J53" s="133"/>
      <c r="K53" s="133"/>
      <c r="L53" s="133"/>
      <c r="M53" s="133"/>
      <c r="N53" s="133"/>
      <c r="O53" s="134">
        <f t="shared" si="17"/>
        <v>0</v>
      </c>
      <c r="Q53" s="133"/>
      <c r="R53" s="133">
        <v>10000000</v>
      </c>
      <c r="S53" s="133">
        <v>10000000</v>
      </c>
      <c r="T53" s="133">
        <v>10000000</v>
      </c>
      <c r="U53" s="133"/>
      <c r="V53" s="133"/>
      <c r="W53" s="133"/>
      <c r="X53" s="133"/>
      <c r="Y53" s="133"/>
      <c r="Z53" s="133"/>
      <c r="AA53" s="133"/>
      <c r="AB53" s="135"/>
      <c r="AC53" s="134">
        <f t="shared" si="18"/>
        <v>0</v>
      </c>
      <c r="AF53" s="426">
        <f t="shared" si="2"/>
        <v>0</v>
      </c>
    </row>
    <row r="54" spans="1:32" ht="15" customHeight="1" outlineLevel="1">
      <c r="A54" s="138"/>
      <c r="B54" s="132" t="s">
        <v>558</v>
      </c>
      <c r="C54" s="133"/>
      <c r="D54" s="133"/>
      <c r="E54" s="133"/>
      <c r="F54" s="133"/>
      <c r="G54" s="102"/>
      <c r="H54" s="133"/>
      <c r="I54" s="133"/>
      <c r="J54" s="133"/>
      <c r="K54" s="133"/>
      <c r="L54" s="133"/>
      <c r="M54" s="133"/>
      <c r="N54" s="133"/>
      <c r="O54" s="134">
        <f t="shared" si="17"/>
        <v>0</v>
      </c>
      <c r="Q54" s="133">
        <v>5047692.97</v>
      </c>
      <c r="R54" s="133">
        <v>5047692.97</v>
      </c>
      <c r="S54" s="133">
        <v>5047692.97</v>
      </c>
      <c r="T54" s="133">
        <v>5047692.97</v>
      </c>
      <c r="U54" s="133">
        <v>5047692.97</v>
      </c>
      <c r="V54" s="133">
        <v>5047692.97</v>
      </c>
      <c r="W54" s="133">
        <v>5047692.97</v>
      </c>
      <c r="X54" s="133">
        <v>5047692.97</v>
      </c>
      <c r="Y54" s="133">
        <v>5047692.97</v>
      </c>
      <c r="Z54" s="133">
        <v>5047692.97</v>
      </c>
      <c r="AA54" s="133">
        <f>5047692.97-5047692.97</f>
        <v>0</v>
      </c>
      <c r="AB54" s="135"/>
      <c r="AC54" s="134">
        <f t="shared" si="18"/>
        <v>0</v>
      </c>
      <c r="AF54" s="426">
        <f t="shared" si="2"/>
        <v>0</v>
      </c>
    </row>
    <row r="55" spans="1:32" ht="15" customHeight="1" outlineLevel="1">
      <c r="A55" s="138"/>
      <c r="B55" s="132" t="s">
        <v>559</v>
      </c>
      <c r="C55" s="133"/>
      <c r="D55" s="133"/>
      <c r="E55" s="133"/>
      <c r="F55" s="133"/>
      <c r="G55" s="102"/>
      <c r="H55" s="133"/>
      <c r="I55" s="133"/>
      <c r="J55" s="133"/>
      <c r="K55" s="133"/>
      <c r="L55" s="133"/>
      <c r="M55" s="133"/>
      <c r="N55" s="133">
        <v>160548831.96000001</v>
      </c>
      <c r="O55" s="134">
        <f t="shared" si="17"/>
        <v>0</v>
      </c>
      <c r="Q55" s="133"/>
      <c r="R55" s="133"/>
      <c r="S55" s="133"/>
      <c r="T55" s="133"/>
      <c r="U55" s="133"/>
      <c r="V55" s="133"/>
      <c r="W55" s="133"/>
      <c r="X55" s="133"/>
      <c r="Y55" s="133"/>
      <c r="Z55" s="133"/>
      <c r="AA55" s="133"/>
      <c r="AB55" s="135"/>
      <c r="AC55" s="134">
        <f t="shared" si="18"/>
        <v>0</v>
      </c>
      <c r="AF55" s="426">
        <f t="shared" si="2"/>
        <v>160548.83196000001</v>
      </c>
    </row>
    <row r="56" spans="1:32">
      <c r="A56" s="138"/>
      <c r="B56" s="127" t="s">
        <v>560</v>
      </c>
      <c r="C56" s="140">
        <f>SUM(C57:C64)</f>
        <v>10756810.93</v>
      </c>
      <c r="D56" s="140">
        <f>SUM(D57:D64)</f>
        <v>76760429.939999998</v>
      </c>
      <c r="E56" s="140">
        <f>SUM(E57:E64)</f>
        <v>28167545.789999999</v>
      </c>
      <c r="F56" s="140">
        <f t="shared" ref="F56:J56" si="19">SUM(F57:F64)</f>
        <v>22953567.93</v>
      </c>
      <c r="G56" s="140">
        <f t="shared" si="19"/>
        <v>47385816.18</v>
      </c>
      <c r="H56" s="140">
        <f t="shared" si="19"/>
        <v>13224195.93</v>
      </c>
      <c r="I56" s="140">
        <f t="shared" si="19"/>
        <v>9380514.9299999997</v>
      </c>
      <c r="J56" s="140">
        <f t="shared" si="19"/>
        <v>27189651.030000001</v>
      </c>
      <c r="K56" s="140">
        <v>5721463.9299999997</v>
      </c>
      <c r="L56" s="140">
        <v>7643035.8999999994</v>
      </c>
      <c r="M56" s="140">
        <v>7545638.9299999997</v>
      </c>
      <c r="N56" s="140">
        <v>18094829.75</v>
      </c>
      <c r="O56" s="134">
        <f t="shared" si="17"/>
        <v>0</v>
      </c>
      <c r="Q56" s="140">
        <f>SUM(Q57:Q64)</f>
        <v>32101110.809999999</v>
      </c>
      <c r="R56" s="140">
        <f>SUM(R57:R64)</f>
        <v>42558044.5</v>
      </c>
      <c r="S56" s="140">
        <f t="shared" ref="S56:AA56" si="20">SUM(S57:S64)</f>
        <v>11846518.93</v>
      </c>
      <c r="T56" s="140">
        <f t="shared" si="20"/>
        <v>322686303.42000002</v>
      </c>
      <c r="U56" s="140">
        <f t="shared" si="20"/>
        <v>284572398.81</v>
      </c>
      <c r="V56" s="140">
        <f t="shared" si="20"/>
        <v>203997097.90000001</v>
      </c>
      <c r="W56" s="140">
        <f t="shared" si="20"/>
        <v>43707793.310000002</v>
      </c>
      <c r="X56" s="140">
        <f t="shared" si="20"/>
        <v>7689769</v>
      </c>
      <c r="Y56" s="140">
        <f t="shared" si="20"/>
        <v>11571443</v>
      </c>
      <c r="Z56" s="140">
        <f t="shared" si="20"/>
        <v>81122994.75</v>
      </c>
      <c r="AA56" s="140">
        <f t="shared" si="20"/>
        <v>14744361.51</v>
      </c>
      <c r="AB56" s="143">
        <v>15050017.93</v>
      </c>
      <c r="AC56" s="134">
        <f t="shared" si="18"/>
        <v>0</v>
      </c>
      <c r="AF56" s="426">
        <f t="shared" si="2"/>
        <v>18094.829750000001</v>
      </c>
    </row>
    <row r="57" spans="1:32" ht="15" customHeight="1" outlineLevel="1">
      <c r="A57" s="138">
        <v>1251</v>
      </c>
      <c r="B57" s="132" t="s">
        <v>561</v>
      </c>
      <c r="C57" s="133"/>
      <c r="D57" s="133">
        <v>57713284.57</v>
      </c>
      <c r="E57" s="133"/>
      <c r="F57" s="133"/>
      <c r="G57" s="102">
        <v>11761654.58</v>
      </c>
      <c r="H57" s="133">
        <v>0</v>
      </c>
      <c r="I57" s="133"/>
      <c r="J57" s="133"/>
      <c r="K57" s="133"/>
      <c r="L57" s="133">
        <v>0</v>
      </c>
      <c r="M57" s="133"/>
      <c r="N57" s="133"/>
      <c r="O57" s="134">
        <f t="shared" si="17"/>
        <v>0</v>
      </c>
      <c r="Q57" s="133"/>
      <c r="R57" s="133"/>
      <c r="S57" s="133"/>
      <c r="T57" s="133"/>
      <c r="U57" s="133"/>
      <c r="V57" s="133"/>
      <c r="W57" s="133"/>
      <c r="X57" s="133"/>
      <c r="Y57" s="133"/>
      <c r="Z57" s="133"/>
      <c r="AA57" s="133"/>
      <c r="AB57" s="135"/>
      <c r="AC57" s="134">
        <f t="shared" si="18"/>
        <v>0</v>
      </c>
      <c r="AF57" s="426">
        <f t="shared" si="2"/>
        <v>0</v>
      </c>
    </row>
    <row r="58" spans="1:32" ht="15" customHeight="1" outlineLevel="1">
      <c r="A58" s="138">
        <v>1252</v>
      </c>
      <c r="B58" s="132" t="s">
        <v>562</v>
      </c>
      <c r="C58" s="133"/>
      <c r="D58" s="133"/>
      <c r="E58" s="133"/>
      <c r="F58" s="133"/>
      <c r="G58" s="102">
        <v>20632111.27</v>
      </c>
      <c r="H58" s="133">
        <v>0</v>
      </c>
      <c r="I58" s="133"/>
      <c r="J58" s="133"/>
      <c r="K58" s="133"/>
      <c r="L58" s="133"/>
      <c r="M58" s="133"/>
      <c r="N58" s="133"/>
      <c r="O58" s="134">
        <f t="shared" ref="O58:O64" si="21">AU58</f>
        <v>0</v>
      </c>
      <c r="Q58" s="133">
        <f>24758566.81</f>
        <v>24758566.809999999</v>
      </c>
      <c r="R58" s="133">
        <v>31286778.960000001</v>
      </c>
      <c r="S58" s="133"/>
      <c r="T58" s="133">
        <v>297195648.42000002</v>
      </c>
      <c r="U58" s="133">
        <v>274215799.45999998</v>
      </c>
      <c r="V58" s="133">
        <f>189345240.9</f>
        <v>189345240.90000001</v>
      </c>
      <c r="W58" s="133">
        <v>27676053.309999999</v>
      </c>
      <c r="X58" s="133"/>
      <c r="Y58" s="133"/>
      <c r="Z58" s="133">
        <f>36103833.09</f>
        <v>36103833.090000004</v>
      </c>
      <c r="AA58" s="133"/>
      <c r="AB58" s="148"/>
      <c r="AC58" s="134">
        <f t="shared" ref="AC58:AC64" si="22">BI58</f>
        <v>0</v>
      </c>
      <c r="AF58" s="426">
        <f t="shared" si="2"/>
        <v>0</v>
      </c>
    </row>
    <row r="59" spans="1:32" ht="15" customHeight="1" outlineLevel="1">
      <c r="A59" s="138">
        <v>1253</v>
      </c>
      <c r="B59" s="132" t="s">
        <v>563</v>
      </c>
      <c r="C59" s="133"/>
      <c r="D59" s="133"/>
      <c r="E59" s="133"/>
      <c r="F59" s="133"/>
      <c r="G59" s="102"/>
      <c r="H59" s="133"/>
      <c r="I59" s="133"/>
      <c r="J59" s="133">
        <v>18674004.100000001</v>
      </c>
      <c r="K59" s="133"/>
      <c r="L59" s="133"/>
      <c r="M59" s="133"/>
      <c r="N59" s="133"/>
      <c r="O59" s="134">
        <f t="shared" si="21"/>
        <v>0</v>
      </c>
      <c r="Q59" s="133"/>
      <c r="R59" s="133"/>
      <c r="S59" s="133">
        <v>589315.93000000005</v>
      </c>
      <c r="T59" s="133"/>
      <c r="U59" s="133">
        <v>963180.35</v>
      </c>
      <c r="V59" s="133"/>
      <c r="W59" s="133"/>
      <c r="X59" s="133"/>
      <c r="Y59" s="133"/>
      <c r="Z59" s="133"/>
      <c r="AA59" s="133">
        <v>1570114.58</v>
      </c>
      <c r="AB59" s="135"/>
      <c r="AC59" s="134">
        <f t="shared" si="22"/>
        <v>0</v>
      </c>
      <c r="AF59" s="426">
        <f t="shared" si="2"/>
        <v>0</v>
      </c>
    </row>
    <row r="60" spans="1:32" ht="15" customHeight="1" outlineLevel="1">
      <c r="A60" s="138">
        <v>1254</v>
      </c>
      <c r="B60" s="132" t="s">
        <v>564</v>
      </c>
      <c r="C60" s="133">
        <v>10756810.93</v>
      </c>
      <c r="D60" s="133">
        <v>19047145.370000001</v>
      </c>
      <c r="E60" s="133">
        <v>28167545.789999999</v>
      </c>
      <c r="F60" s="133">
        <v>22953567.93</v>
      </c>
      <c r="G60" s="102">
        <v>14992050.33</v>
      </c>
      <c r="H60" s="133">
        <v>13224195.93</v>
      </c>
      <c r="I60" s="133">
        <v>9380514.9299999997</v>
      </c>
      <c r="J60" s="133">
        <v>8515646.9299999997</v>
      </c>
      <c r="K60" s="133">
        <v>5721463.9299999997</v>
      </c>
      <c r="L60" s="133">
        <v>7643035.8999999994</v>
      </c>
      <c r="M60" s="133">
        <v>7545638.9299999997</v>
      </c>
      <c r="N60" s="133">
        <v>18094829.75</v>
      </c>
      <c r="O60" s="134">
        <f t="shared" si="21"/>
        <v>0</v>
      </c>
      <c r="Q60" s="133">
        <f>7342544</f>
        <v>7342544</v>
      </c>
      <c r="R60" s="133">
        <v>11271265.539999999</v>
      </c>
      <c r="S60" s="133">
        <v>11257203</v>
      </c>
      <c r="T60" s="133">
        <v>25490655</v>
      </c>
      <c r="U60" s="133">
        <v>9393419</v>
      </c>
      <c r="V60" s="133">
        <v>14651857</v>
      </c>
      <c r="W60" s="133">
        <v>16031740</v>
      </c>
      <c r="X60" s="133">
        <v>7689769</v>
      </c>
      <c r="Y60" s="133">
        <v>11571443</v>
      </c>
      <c r="Z60" s="133">
        <f>45019161.66</f>
        <v>45019161.659999996</v>
      </c>
      <c r="AA60" s="133">
        <v>13174246.93</v>
      </c>
      <c r="AB60" s="135">
        <v>15050017.93</v>
      </c>
      <c r="AC60" s="134">
        <f t="shared" si="22"/>
        <v>0</v>
      </c>
      <c r="AF60" s="426">
        <f t="shared" si="2"/>
        <v>18094.829750000001</v>
      </c>
    </row>
    <row r="61" spans="1:32" ht="15" customHeight="1" outlineLevel="1">
      <c r="A61" s="138">
        <v>1255</v>
      </c>
      <c r="B61" s="132" t="s">
        <v>565</v>
      </c>
      <c r="C61" s="133"/>
      <c r="D61" s="133"/>
      <c r="E61" s="133"/>
      <c r="F61" s="133"/>
      <c r="G61" s="102"/>
      <c r="H61" s="133"/>
      <c r="I61" s="133"/>
      <c r="J61" s="133"/>
      <c r="K61" s="133"/>
      <c r="L61" s="133"/>
      <c r="M61" s="133"/>
      <c r="N61" s="133"/>
      <c r="O61" s="134">
        <f t="shared" si="21"/>
        <v>0</v>
      </c>
      <c r="Q61" s="133"/>
      <c r="R61" s="133"/>
      <c r="S61" s="133"/>
      <c r="T61" s="133"/>
      <c r="U61" s="133"/>
      <c r="V61" s="133"/>
      <c r="W61" s="133"/>
      <c r="X61" s="133"/>
      <c r="Y61" s="133"/>
      <c r="Z61" s="133"/>
      <c r="AA61" s="133"/>
      <c r="AB61" s="135"/>
      <c r="AC61" s="134">
        <f t="shared" si="22"/>
        <v>0</v>
      </c>
      <c r="AF61" s="426">
        <f t="shared" si="2"/>
        <v>0</v>
      </c>
    </row>
    <row r="62" spans="1:32" ht="15" customHeight="1" outlineLevel="1">
      <c r="A62" s="138">
        <v>1256</v>
      </c>
      <c r="B62" s="132" t="s">
        <v>566</v>
      </c>
      <c r="C62" s="133"/>
      <c r="D62" s="133"/>
      <c r="E62" s="133"/>
      <c r="F62" s="133"/>
      <c r="G62" s="102"/>
      <c r="H62" s="133"/>
      <c r="I62" s="133"/>
      <c r="J62" s="133"/>
      <c r="K62" s="133"/>
      <c r="L62" s="133"/>
      <c r="M62" s="133"/>
      <c r="N62" s="133"/>
      <c r="O62" s="134">
        <f t="shared" si="21"/>
        <v>0</v>
      </c>
      <c r="Q62" s="133"/>
      <c r="R62" s="133"/>
      <c r="S62" s="133"/>
      <c r="T62" s="133"/>
      <c r="U62" s="133"/>
      <c r="V62" s="133"/>
      <c r="W62" s="133"/>
      <c r="X62" s="133"/>
      <c r="Y62" s="133"/>
      <c r="Z62" s="133"/>
      <c r="AA62" s="133"/>
      <c r="AB62" s="135"/>
      <c r="AC62" s="134">
        <f t="shared" si="22"/>
        <v>0</v>
      </c>
      <c r="AF62" s="426">
        <f t="shared" si="2"/>
        <v>0</v>
      </c>
    </row>
    <row r="63" spans="1:32" ht="15" customHeight="1" outlineLevel="1">
      <c r="A63" s="138">
        <v>1257</v>
      </c>
      <c r="B63" s="132" t="s">
        <v>567</v>
      </c>
      <c r="C63" s="133"/>
      <c r="D63" s="133"/>
      <c r="E63" s="133"/>
      <c r="F63" s="133"/>
      <c r="G63" s="102"/>
      <c r="H63" s="133"/>
      <c r="I63" s="133"/>
      <c r="J63" s="133"/>
      <c r="K63" s="133"/>
      <c r="L63" s="133"/>
      <c r="M63" s="133"/>
      <c r="N63" s="133"/>
      <c r="O63" s="134">
        <f t="shared" si="21"/>
        <v>0</v>
      </c>
      <c r="Q63" s="133"/>
      <c r="R63" s="133"/>
      <c r="S63" s="133"/>
      <c r="T63" s="133"/>
      <c r="U63" s="133"/>
      <c r="V63" s="133"/>
      <c r="W63" s="133"/>
      <c r="X63" s="133"/>
      <c r="Y63" s="133"/>
      <c r="Z63" s="133"/>
      <c r="AA63" s="133"/>
      <c r="AB63" s="135"/>
      <c r="AC63" s="134">
        <f t="shared" si="22"/>
        <v>0</v>
      </c>
      <c r="AF63" s="426">
        <f t="shared" si="2"/>
        <v>0</v>
      </c>
    </row>
    <row r="64" spans="1:32" ht="15" customHeight="1" outlineLevel="1">
      <c r="A64" s="138">
        <v>1258</v>
      </c>
      <c r="B64" s="132" t="s">
        <v>568</v>
      </c>
      <c r="C64" s="133"/>
      <c r="D64" s="133"/>
      <c r="E64" s="133"/>
      <c r="F64" s="133"/>
      <c r="G64" s="102"/>
      <c r="H64" s="133"/>
      <c r="I64" s="133"/>
      <c r="J64" s="133"/>
      <c r="K64" s="133"/>
      <c r="L64" s="133"/>
      <c r="M64" s="133"/>
      <c r="N64" s="133"/>
      <c r="O64" s="134">
        <f t="shared" si="21"/>
        <v>0</v>
      </c>
      <c r="Q64" s="133"/>
      <c r="R64" s="133"/>
      <c r="S64" s="133"/>
      <c r="T64" s="133"/>
      <c r="U64" s="133"/>
      <c r="V64" s="133"/>
      <c r="W64" s="133"/>
      <c r="X64" s="133"/>
      <c r="Y64" s="133"/>
      <c r="Z64" s="133"/>
      <c r="AA64" s="133"/>
      <c r="AB64" s="135"/>
      <c r="AC64" s="134">
        <f t="shared" si="22"/>
        <v>0</v>
      </c>
      <c r="AF64" s="426">
        <f t="shared" si="2"/>
        <v>0</v>
      </c>
    </row>
    <row r="65" spans="1:32">
      <c r="A65" s="138"/>
      <c r="B65" s="127" t="s">
        <v>569</v>
      </c>
      <c r="C65" s="140">
        <f>SUM(C66:C71)</f>
        <v>0</v>
      </c>
      <c r="D65" s="140">
        <f>SUM(D66:D71)</f>
        <v>0</v>
      </c>
      <c r="E65" s="140">
        <v>0</v>
      </c>
      <c r="F65" s="140">
        <f t="shared" ref="F65:O65" si="23">SUM(F66:F71)</f>
        <v>0</v>
      </c>
      <c r="G65" s="140">
        <f t="shared" si="23"/>
        <v>0</v>
      </c>
      <c r="H65" s="140">
        <f t="shared" si="23"/>
        <v>0</v>
      </c>
      <c r="I65" s="140">
        <f t="shared" si="23"/>
        <v>0</v>
      </c>
      <c r="J65" s="140">
        <f t="shared" si="23"/>
        <v>0</v>
      </c>
      <c r="K65" s="140">
        <v>0</v>
      </c>
      <c r="L65" s="140">
        <v>0</v>
      </c>
      <c r="M65" s="140">
        <v>0</v>
      </c>
      <c r="N65" s="140">
        <v>0</v>
      </c>
      <c r="O65" s="142">
        <f t="shared" si="23"/>
        <v>0</v>
      </c>
      <c r="Q65" s="140">
        <f>SUM(Q66:Q71)</f>
        <v>0</v>
      </c>
      <c r="R65" s="140">
        <f>SUM(R66:R71)</f>
        <v>0</v>
      </c>
      <c r="S65" s="140">
        <f t="shared" ref="S65:AC65" si="24">SUM(S66:S71)</f>
        <v>0</v>
      </c>
      <c r="T65" s="140">
        <f t="shared" si="24"/>
        <v>0</v>
      </c>
      <c r="U65" s="140">
        <f t="shared" si="24"/>
        <v>0</v>
      </c>
      <c r="V65" s="140">
        <f t="shared" si="24"/>
        <v>0</v>
      </c>
      <c r="W65" s="140">
        <f t="shared" si="24"/>
        <v>0</v>
      </c>
      <c r="X65" s="140">
        <f t="shared" si="24"/>
        <v>0</v>
      </c>
      <c r="Y65" s="140">
        <f t="shared" si="24"/>
        <v>0</v>
      </c>
      <c r="Z65" s="140">
        <f t="shared" si="24"/>
        <v>0</v>
      </c>
      <c r="AA65" s="140">
        <f t="shared" si="24"/>
        <v>0</v>
      </c>
      <c r="AB65" s="143">
        <v>0</v>
      </c>
      <c r="AC65" s="142">
        <f t="shared" si="24"/>
        <v>0</v>
      </c>
      <c r="AF65" s="426">
        <f t="shared" si="2"/>
        <v>0</v>
      </c>
    </row>
    <row r="66" spans="1:32" ht="15" customHeight="1" outlineLevel="1">
      <c r="A66" s="138">
        <v>1301</v>
      </c>
      <c r="B66" s="132" t="s">
        <v>570</v>
      </c>
      <c r="C66" s="133"/>
      <c r="D66" s="133"/>
      <c r="E66" s="133"/>
      <c r="F66" s="133"/>
      <c r="G66" s="102"/>
      <c r="H66" s="133"/>
      <c r="I66" s="133"/>
      <c r="J66" s="133"/>
      <c r="K66" s="133"/>
      <c r="L66" s="133"/>
      <c r="M66" s="133"/>
      <c r="N66" s="133"/>
      <c r="O66" s="134">
        <f t="shared" ref="O66:O71" si="25">AU66</f>
        <v>0</v>
      </c>
      <c r="Q66" s="133"/>
      <c r="R66" s="133"/>
      <c r="S66" s="133"/>
      <c r="T66" s="133"/>
      <c r="U66" s="133"/>
      <c r="V66" s="133"/>
      <c r="W66" s="137"/>
      <c r="X66" s="133"/>
      <c r="Y66" s="133"/>
      <c r="Z66" s="133"/>
      <c r="AA66" s="133"/>
      <c r="AB66" s="135"/>
      <c r="AC66" s="134">
        <f t="shared" ref="AC66:AC71" si="26">BI66</f>
        <v>0</v>
      </c>
      <c r="AF66" s="426">
        <f t="shared" si="2"/>
        <v>0</v>
      </c>
    </row>
    <row r="67" spans="1:32" ht="15" customHeight="1" outlineLevel="1">
      <c r="A67" s="138">
        <v>1302</v>
      </c>
      <c r="B67" s="132" t="s">
        <v>571</v>
      </c>
      <c r="C67" s="133"/>
      <c r="D67" s="133"/>
      <c r="E67" s="133"/>
      <c r="F67" s="133"/>
      <c r="G67" s="102"/>
      <c r="H67" s="133"/>
      <c r="I67" s="133"/>
      <c r="J67" s="133"/>
      <c r="K67" s="133"/>
      <c r="L67" s="133"/>
      <c r="M67" s="133"/>
      <c r="N67" s="133"/>
      <c r="O67" s="134">
        <f t="shared" si="25"/>
        <v>0</v>
      </c>
      <c r="Q67" s="133"/>
      <c r="R67" s="133"/>
      <c r="S67" s="133"/>
      <c r="T67" s="133"/>
      <c r="U67" s="133"/>
      <c r="V67" s="133"/>
      <c r="W67" s="137"/>
      <c r="X67" s="133"/>
      <c r="Y67" s="133"/>
      <c r="Z67" s="133"/>
      <c r="AA67" s="133"/>
      <c r="AB67" s="135"/>
      <c r="AC67" s="134">
        <f t="shared" si="26"/>
        <v>0</v>
      </c>
      <c r="AF67" s="426">
        <f t="shared" si="2"/>
        <v>0</v>
      </c>
    </row>
    <row r="68" spans="1:32" ht="15" customHeight="1" outlineLevel="1">
      <c r="A68" s="138">
        <v>1303</v>
      </c>
      <c r="B68" s="132" t="s">
        <v>572</v>
      </c>
      <c r="C68" s="133"/>
      <c r="D68" s="133"/>
      <c r="E68" s="133"/>
      <c r="F68" s="133"/>
      <c r="G68" s="102"/>
      <c r="H68" s="133"/>
      <c r="I68" s="133"/>
      <c r="J68" s="133"/>
      <c r="K68" s="133"/>
      <c r="L68" s="133"/>
      <c r="M68" s="133"/>
      <c r="N68" s="133"/>
      <c r="O68" s="134">
        <f t="shared" si="25"/>
        <v>0</v>
      </c>
      <c r="Q68" s="133"/>
      <c r="R68" s="133"/>
      <c r="S68" s="133"/>
      <c r="T68" s="133"/>
      <c r="U68" s="133"/>
      <c r="V68" s="133"/>
      <c r="W68" s="137"/>
      <c r="X68" s="133"/>
      <c r="Y68" s="133"/>
      <c r="Z68" s="133"/>
      <c r="AA68" s="133"/>
      <c r="AB68" s="135"/>
      <c r="AC68" s="134">
        <f t="shared" si="26"/>
        <v>0</v>
      </c>
      <c r="AF68" s="426">
        <f t="shared" si="2"/>
        <v>0</v>
      </c>
    </row>
    <row r="69" spans="1:32" ht="15" customHeight="1" outlineLevel="1">
      <c r="A69" s="138">
        <v>1304</v>
      </c>
      <c r="B69" s="132" t="s">
        <v>573</v>
      </c>
      <c r="C69" s="133"/>
      <c r="D69" s="133"/>
      <c r="E69" s="133"/>
      <c r="F69" s="133"/>
      <c r="G69" s="102"/>
      <c r="H69" s="133"/>
      <c r="I69" s="133"/>
      <c r="J69" s="133"/>
      <c r="K69" s="133"/>
      <c r="L69" s="133"/>
      <c r="M69" s="133"/>
      <c r="N69" s="133"/>
      <c r="O69" s="134">
        <f t="shared" si="25"/>
        <v>0</v>
      </c>
      <c r="Q69" s="133"/>
      <c r="R69" s="133"/>
      <c r="S69" s="133"/>
      <c r="T69" s="133"/>
      <c r="U69" s="133"/>
      <c r="V69" s="133"/>
      <c r="W69" s="137"/>
      <c r="X69" s="133"/>
      <c r="Y69" s="133"/>
      <c r="Z69" s="133"/>
      <c r="AA69" s="133"/>
      <c r="AB69" s="135"/>
      <c r="AC69" s="134">
        <f t="shared" si="26"/>
        <v>0</v>
      </c>
      <c r="AF69" s="426">
        <f t="shared" si="2"/>
        <v>0</v>
      </c>
    </row>
    <row r="70" spans="1:32" ht="15" customHeight="1" outlineLevel="1">
      <c r="A70" s="138">
        <v>1305</v>
      </c>
      <c r="B70" s="132" t="s">
        <v>574</v>
      </c>
      <c r="C70" s="133"/>
      <c r="D70" s="133"/>
      <c r="E70" s="133"/>
      <c r="F70" s="133"/>
      <c r="G70" s="102"/>
      <c r="H70" s="133"/>
      <c r="I70" s="133"/>
      <c r="J70" s="133"/>
      <c r="K70" s="133"/>
      <c r="L70" s="133"/>
      <c r="M70" s="133"/>
      <c r="N70" s="133"/>
      <c r="O70" s="134">
        <f t="shared" si="25"/>
        <v>0</v>
      </c>
      <c r="Q70" s="133"/>
      <c r="R70" s="133"/>
      <c r="S70" s="133"/>
      <c r="T70" s="133"/>
      <c r="U70" s="133"/>
      <c r="V70" s="133"/>
      <c r="W70" s="137"/>
      <c r="X70" s="133"/>
      <c r="Y70" s="133"/>
      <c r="Z70" s="133"/>
      <c r="AA70" s="133"/>
      <c r="AB70" s="135"/>
      <c r="AC70" s="134">
        <f t="shared" si="26"/>
        <v>0</v>
      </c>
      <c r="AF70" s="426">
        <f t="shared" si="2"/>
        <v>0</v>
      </c>
    </row>
    <row r="71" spans="1:32" ht="15" customHeight="1" outlineLevel="1">
      <c r="A71" s="138">
        <v>1306</v>
      </c>
      <c r="B71" s="132" t="s">
        <v>575</v>
      </c>
      <c r="C71" s="133"/>
      <c r="D71" s="133"/>
      <c r="E71" s="133"/>
      <c r="F71" s="133"/>
      <c r="G71" s="102"/>
      <c r="H71" s="133"/>
      <c r="I71" s="133"/>
      <c r="J71" s="133"/>
      <c r="K71" s="133"/>
      <c r="L71" s="133"/>
      <c r="M71" s="133"/>
      <c r="N71" s="133"/>
      <c r="O71" s="134">
        <f t="shared" si="25"/>
        <v>0</v>
      </c>
      <c r="Q71" s="133"/>
      <c r="R71" s="133"/>
      <c r="S71" s="133"/>
      <c r="T71" s="133"/>
      <c r="U71" s="133"/>
      <c r="V71" s="133"/>
      <c r="W71" s="137"/>
      <c r="X71" s="133"/>
      <c r="Y71" s="133"/>
      <c r="Z71" s="133"/>
      <c r="AA71" s="133"/>
      <c r="AB71" s="135"/>
      <c r="AC71" s="134">
        <f t="shared" si="26"/>
        <v>0</v>
      </c>
      <c r="AF71" s="426">
        <f t="shared" si="2"/>
        <v>0</v>
      </c>
    </row>
    <row r="72" spans="1:32">
      <c r="A72" s="149"/>
      <c r="B72" s="150" t="s">
        <v>576</v>
      </c>
      <c r="C72" s="151">
        <f>SUM(C14,C18,C19,C26,C32,C36,C44,C50,C56,C65)</f>
        <v>49203445867.620003</v>
      </c>
      <c r="D72" s="151">
        <f>SUM(D14,D18,D19,D26,D32,D36,D44,D50,D56,D65)</f>
        <v>49250294403.330002</v>
      </c>
      <c r="E72" s="151">
        <f>SUM(E14,E18,E19,E26,E32,E36,E44,E50,E56,E65)</f>
        <v>50330854221.788185</v>
      </c>
      <c r="F72" s="151">
        <f t="shared" ref="F72:O72" si="27">SUM(F14,F18,F19,F26,F32,F36,F44,F50,F56,F65)</f>
        <v>57986472909.800018</v>
      </c>
      <c r="G72" s="151">
        <f t="shared" si="27"/>
        <v>67102433493.539993</v>
      </c>
      <c r="H72" s="151">
        <f t="shared" si="27"/>
        <v>66876013418.562996</v>
      </c>
      <c r="I72" s="151">
        <f t="shared" si="27"/>
        <v>66097759931.670006</v>
      </c>
      <c r="J72" s="151">
        <f t="shared" si="27"/>
        <v>65467854559.590004</v>
      </c>
      <c r="K72" s="151">
        <v>64146499411.630005</v>
      </c>
      <c r="L72" s="151">
        <v>64080064013.419991</v>
      </c>
      <c r="M72" s="151">
        <v>59676686571.449997</v>
      </c>
      <c r="N72" s="151">
        <v>125731831566.91431</v>
      </c>
      <c r="O72" s="152">
        <f t="shared" si="27"/>
        <v>0</v>
      </c>
      <c r="Q72" s="151">
        <f>SUM(Q14,Q18,Q19,Q26,Q32,Q36,Q44,Q50,Q56,Q65)</f>
        <v>38330855024.290001</v>
      </c>
      <c r="R72" s="151">
        <f>SUM(R14,R18,R19,R26,R32,R36,R44,R50,R56,R65)</f>
        <v>37683982745.290001</v>
      </c>
      <c r="S72" s="151">
        <f t="shared" ref="S72:AC72" si="28">SUM(S14,S18,S19,S26,S32,S36,S44,S50,S56,S65)</f>
        <v>38364886372.029999</v>
      </c>
      <c r="T72" s="151">
        <f t="shared" si="28"/>
        <v>39159248531.959991</v>
      </c>
      <c r="U72" s="151">
        <f t="shared" si="28"/>
        <v>39502008145.339996</v>
      </c>
      <c r="V72" s="151">
        <f t="shared" si="28"/>
        <v>39367015440.019997</v>
      </c>
      <c r="W72" s="151">
        <f t="shared" si="28"/>
        <v>38319487595.279999</v>
      </c>
      <c r="X72" s="151">
        <f t="shared" si="28"/>
        <v>39305032830.369995</v>
      </c>
      <c r="Y72" s="151">
        <f t="shared" si="28"/>
        <v>39947088420.550003</v>
      </c>
      <c r="Z72" s="151">
        <f t="shared" si="28"/>
        <v>46498705533.990005</v>
      </c>
      <c r="AA72" s="151">
        <f t="shared" si="28"/>
        <v>48083931760.259995</v>
      </c>
      <c r="AB72" s="153">
        <v>85884826077.61998</v>
      </c>
      <c r="AC72" s="152">
        <f t="shared" si="28"/>
        <v>0</v>
      </c>
      <c r="AF72" s="426">
        <f t="shared" si="2"/>
        <v>125731831.56691431</v>
      </c>
    </row>
    <row r="73" spans="1:32">
      <c r="A73" s="131"/>
      <c r="B73" s="154"/>
      <c r="C73" s="133"/>
      <c r="D73" s="133">
        <f>49250294403.33-D72</f>
        <v>0</v>
      </c>
      <c r="E73" s="133">
        <v>1.8157958984375E-3</v>
      </c>
      <c r="F73" s="133">
        <v>0</v>
      </c>
      <c r="G73" s="133"/>
      <c r="H73" s="133"/>
      <c r="I73" s="133"/>
      <c r="J73" s="133"/>
      <c r="K73" s="133"/>
      <c r="L73" s="133">
        <v>0</v>
      </c>
      <c r="M73" s="133"/>
      <c r="N73" s="133"/>
      <c r="O73" s="134"/>
      <c r="Q73" s="133"/>
      <c r="R73" s="133"/>
      <c r="S73" s="133"/>
      <c r="T73" s="133"/>
      <c r="U73" s="133"/>
      <c r="V73" s="133"/>
      <c r="W73" s="133">
        <f>+W72-38319487595.28</f>
        <v>0</v>
      </c>
      <c r="X73" s="133">
        <f>+X72-39305032830.37</f>
        <v>0</v>
      </c>
      <c r="Y73" s="133"/>
      <c r="Z73" s="133"/>
      <c r="AA73" s="133"/>
      <c r="AB73" s="135">
        <v>0</v>
      </c>
      <c r="AC73" s="134"/>
      <c r="AF73" s="426">
        <f t="shared" si="2"/>
        <v>0</v>
      </c>
    </row>
    <row r="74" spans="1:32">
      <c r="A74" s="149"/>
      <c r="B74" s="121" t="s">
        <v>577</v>
      </c>
      <c r="C74" s="155"/>
      <c r="D74" s="155"/>
      <c r="E74" s="155"/>
      <c r="F74" s="155"/>
      <c r="G74" s="156"/>
      <c r="H74" s="155"/>
      <c r="I74" s="155"/>
      <c r="J74" s="155"/>
      <c r="K74" s="155"/>
      <c r="L74" s="155"/>
      <c r="M74" s="155"/>
      <c r="N74" s="155"/>
      <c r="O74" s="157"/>
      <c r="Q74" s="155"/>
      <c r="R74" s="155"/>
      <c r="S74" s="155"/>
      <c r="T74" s="155"/>
      <c r="U74" s="155"/>
      <c r="V74" s="155"/>
      <c r="W74" s="156"/>
      <c r="X74" s="155"/>
      <c r="Y74" s="155"/>
      <c r="Z74" s="155"/>
      <c r="AA74" s="155"/>
      <c r="AB74" s="158"/>
      <c r="AC74" s="157"/>
      <c r="AF74" s="426">
        <f t="shared" si="2"/>
        <v>0</v>
      </c>
    </row>
    <row r="75" spans="1:32">
      <c r="A75" s="131"/>
      <c r="B75" s="127" t="s">
        <v>470</v>
      </c>
      <c r="C75" s="133">
        <f t="shared" ref="C75:J75" si="29">SUM(C76:C90)</f>
        <v>31181905190.409996</v>
      </c>
      <c r="D75" s="133">
        <f t="shared" si="29"/>
        <v>31050717685.139999</v>
      </c>
      <c r="E75" s="133">
        <f t="shared" si="29"/>
        <v>31113992155.009995</v>
      </c>
      <c r="F75" s="133">
        <f t="shared" si="29"/>
        <v>31534641912.630001</v>
      </c>
      <c r="G75" s="133">
        <f t="shared" si="29"/>
        <v>31241942559.830006</v>
      </c>
      <c r="H75" s="133">
        <f t="shared" si="29"/>
        <v>32105781031.049995</v>
      </c>
      <c r="I75" s="133">
        <f t="shared" si="29"/>
        <v>32136097497.190006</v>
      </c>
      <c r="J75" s="133">
        <f t="shared" si="29"/>
        <v>32116106924.060001</v>
      </c>
      <c r="K75" s="133">
        <v>32435689228.239998</v>
      </c>
      <c r="L75" s="133">
        <v>32348777584.949997</v>
      </c>
      <c r="M75" s="133">
        <v>33253966661.32</v>
      </c>
      <c r="N75" s="133">
        <v>56346074720.840004</v>
      </c>
      <c r="O75" s="134">
        <f>SUM(O76:O90)</f>
        <v>0</v>
      </c>
      <c r="Q75" s="133">
        <f>SUM(Q76:Q90)</f>
        <v>27907210021.600006</v>
      </c>
      <c r="R75" s="133">
        <f>SUM(R76:R90)</f>
        <v>27847782386.930004</v>
      </c>
      <c r="S75" s="133">
        <f t="shared" ref="S75:AC75" si="30">SUM(S76:S90)</f>
        <v>28086798171.82</v>
      </c>
      <c r="T75" s="133">
        <f t="shared" si="30"/>
        <v>31510219810.879997</v>
      </c>
      <c r="U75" s="133">
        <f t="shared" si="30"/>
        <v>31749064485.340004</v>
      </c>
      <c r="V75" s="133">
        <f t="shared" si="30"/>
        <v>31846475900.689999</v>
      </c>
      <c r="W75" s="133">
        <f>SUM(W76:W90)</f>
        <v>31830423435.310001</v>
      </c>
      <c r="X75" s="133">
        <f t="shared" si="30"/>
        <v>31697149872.900002</v>
      </c>
      <c r="Y75" s="133">
        <f t="shared" si="30"/>
        <v>31535888612.809998</v>
      </c>
      <c r="Z75" s="133">
        <f t="shared" si="30"/>
        <v>31320324136.629997</v>
      </c>
      <c r="AA75" s="133">
        <f t="shared" si="30"/>
        <v>31289337941.300003</v>
      </c>
      <c r="AB75" s="135">
        <v>50398876281.139999</v>
      </c>
      <c r="AC75" s="134">
        <f t="shared" si="30"/>
        <v>0</v>
      </c>
      <c r="AE75" s="139"/>
      <c r="AF75" s="426">
        <f t="shared" si="2"/>
        <v>56346074.720840007</v>
      </c>
    </row>
    <row r="76" spans="1:32" ht="15" customHeight="1" outlineLevel="1">
      <c r="A76" s="131"/>
      <c r="B76" s="132" t="s">
        <v>578</v>
      </c>
      <c r="C76" s="133"/>
      <c r="D76" s="133"/>
      <c r="E76" s="133"/>
      <c r="F76" s="133"/>
      <c r="G76" s="102"/>
      <c r="H76" s="133"/>
      <c r="I76" s="133"/>
      <c r="J76" s="133"/>
      <c r="K76" s="133"/>
      <c r="L76" s="133"/>
      <c r="M76" s="133"/>
      <c r="N76" s="133">
        <v>2576719200</v>
      </c>
      <c r="O76" s="134"/>
      <c r="Q76" s="133"/>
      <c r="R76" s="133"/>
      <c r="S76" s="133"/>
      <c r="T76" s="133"/>
      <c r="U76" s="133"/>
      <c r="V76" s="133"/>
      <c r="W76" s="133"/>
      <c r="X76" s="133"/>
      <c r="Y76" s="133"/>
      <c r="Z76" s="133"/>
      <c r="AA76" s="133"/>
      <c r="AB76" s="135">
        <v>2576719200</v>
      </c>
      <c r="AC76" s="134"/>
      <c r="AF76" s="426">
        <f t="shared" si="2"/>
        <v>2576719.2000000002</v>
      </c>
    </row>
    <row r="77" spans="1:32" ht="15" customHeight="1" outlineLevel="1">
      <c r="A77" s="159" t="s">
        <v>579</v>
      </c>
      <c r="B77" s="132" t="s">
        <v>580</v>
      </c>
      <c r="C77" s="133">
        <v>13689854427.700001</v>
      </c>
      <c r="D77" s="133">
        <v>13689854427.700001</v>
      </c>
      <c r="E77" s="133">
        <v>13689854427.700001</v>
      </c>
      <c r="F77" s="133">
        <v>13689854427.700001</v>
      </c>
      <c r="G77" s="102">
        <v>13689854427.700001</v>
      </c>
      <c r="H77" s="133">
        <v>13834520915.610001</v>
      </c>
      <c r="I77" s="133">
        <v>13834520915.610001</v>
      </c>
      <c r="J77" s="133">
        <v>14028105095.58</v>
      </c>
      <c r="K77" s="133">
        <v>14294917515.780001</v>
      </c>
      <c r="L77" s="133">
        <v>14488412821.889999</v>
      </c>
      <c r="M77" s="133">
        <v>14757456125.709999</v>
      </c>
      <c r="N77" s="133">
        <v>23326648572.34</v>
      </c>
      <c r="O77" s="134">
        <f t="shared" ref="O77:O90" si="31">AU77</f>
        <v>0</v>
      </c>
      <c r="Q77" s="133">
        <v>13601911992.48</v>
      </c>
      <c r="R77" s="133">
        <v>13601911992.48</v>
      </c>
      <c r="S77" s="133">
        <v>13601911992.48</v>
      </c>
      <c r="T77" s="133">
        <v>13601911992.48</v>
      </c>
      <c r="U77" s="133">
        <v>13601911992.48</v>
      </c>
      <c r="V77" s="133">
        <v>13612005928.84</v>
      </c>
      <c r="W77" s="133">
        <f>13648410161.16</f>
        <v>13648410161.16</v>
      </c>
      <c r="X77" s="133">
        <v>13656609070.25</v>
      </c>
      <c r="Y77" s="133">
        <v>13671631973.15</v>
      </c>
      <c r="Z77" s="133">
        <v>13687882882.25</v>
      </c>
      <c r="AA77" s="133">
        <v>13687882882.25</v>
      </c>
      <c r="AB77" s="135">
        <v>21058094156.169998</v>
      </c>
      <c r="AC77" s="134">
        <f t="shared" ref="AC77:AC90" si="32">BI77</f>
        <v>0</v>
      </c>
      <c r="AD77" s="89">
        <f>+N77-AB77</f>
        <v>2268554416.170002</v>
      </c>
      <c r="AF77" s="426">
        <f t="shared" si="2"/>
        <v>23326648.57234</v>
      </c>
    </row>
    <row r="78" spans="1:32" ht="15" customHeight="1" outlineLevel="1">
      <c r="A78" s="159">
        <v>2001</v>
      </c>
      <c r="B78" s="160" t="s">
        <v>581</v>
      </c>
      <c r="C78" s="133">
        <v>-1014540091.8099999</v>
      </c>
      <c r="D78" s="133">
        <v>-1040618992.77</v>
      </c>
      <c r="E78" s="133">
        <v>-1069492061.6900001</v>
      </c>
      <c r="F78" s="133">
        <v>-1097433741.29</v>
      </c>
      <c r="G78" s="102">
        <v>-1126306810.21</v>
      </c>
      <c r="H78" s="133">
        <v>-1154248489.8099999</v>
      </c>
      <c r="I78" s="133">
        <v>-1183454149.98</v>
      </c>
      <c r="J78" s="133">
        <v>-1212659810.1500001</v>
      </c>
      <c r="K78" s="133">
        <v>-1242185997.6500001</v>
      </c>
      <c r="L78" s="133">
        <v>-1273314012.77</v>
      </c>
      <c r="M78" s="133">
        <v>-1303919000.27</v>
      </c>
      <c r="N78" s="133">
        <v>-2043820912.73</v>
      </c>
      <c r="O78" s="134">
        <f t="shared" si="31"/>
        <v>0</v>
      </c>
      <c r="Q78" s="133">
        <f>-675996195.71</f>
        <v>-675996195.71000004</v>
      </c>
      <c r="R78" s="133">
        <v>-701884318.38999999</v>
      </c>
      <c r="S78" s="133">
        <v>-730546168.5</v>
      </c>
      <c r="T78" s="133">
        <v>-758283442.79999995</v>
      </c>
      <c r="U78" s="133">
        <v>-786945292.90999997</v>
      </c>
      <c r="V78" s="133">
        <v>-814682567.21000004</v>
      </c>
      <c r="W78" s="133">
        <f>-843380502.25</f>
        <v>-843380502.25</v>
      </c>
      <c r="X78" s="133">
        <f>-872160108.34</f>
        <v>-872160108.34000003</v>
      </c>
      <c r="Y78" s="133">
        <v>-900029180.74000001</v>
      </c>
      <c r="Z78" s="133">
        <v>-928861074.84000003</v>
      </c>
      <c r="AA78" s="133">
        <v>-956798426.34000003</v>
      </c>
      <c r="AB78" s="135">
        <v>-1139541616.99</v>
      </c>
      <c r="AC78" s="134">
        <f t="shared" si="32"/>
        <v>0</v>
      </c>
      <c r="AF78" s="426">
        <f t="shared" si="2"/>
        <v>-2043820.91273</v>
      </c>
    </row>
    <row r="79" spans="1:32" ht="15" customHeight="1" outlineLevel="1">
      <c r="A79" s="159">
        <v>2011</v>
      </c>
      <c r="B79" s="132" t="s">
        <v>582</v>
      </c>
      <c r="C79" s="133">
        <v>995096301.30999994</v>
      </c>
      <c r="D79" s="133">
        <v>996398646.67999995</v>
      </c>
      <c r="E79" s="133">
        <v>999596486.67999995</v>
      </c>
      <c r="F79" s="133">
        <v>1002829846.6799999</v>
      </c>
      <c r="G79" s="102">
        <v>1002829846.6799999</v>
      </c>
      <c r="H79" s="133">
        <v>1092079698.95</v>
      </c>
      <c r="I79" s="133">
        <v>1115673076.3099999</v>
      </c>
      <c r="J79" s="133">
        <v>1144613512.28</v>
      </c>
      <c r="K79" s="133">
        <v>1164614626.2</v>
      </c>
      <c r="L79" s="133">
        <v>1170409233.04</v>
      </c>
      <c r="M79" s="133">
        <v>1345001552.3699999</v>
      </c>
      <c r="N79" s="133">
        <v>2595034775.1500001</v>
      </c>
      <c r="O79" s="134">
        <f t="shared" si="31"/>
        <v>0</v>
      </c>
      <c r="Q79" s="133">
        <v>1081546147.9000001</v>
      </c>
      <c r="R79" s="133">
        <v>877331273.78999996</v>
      </c>
      <c r="S79" s="133">
        <v>891995264.91999996</v>
      </c>
      <c r="T79" s="133">
        <v>894452958.07000005</v>
      </c>
      <c r="U79" s="133">
        <v>993072862.10000002</v>
      </c>
      <c r="V79" s="133">
        <v>999993928.76999998</v>
      </c>
      <c r="W79" s="133">
        <v>1015706003.4</v>
      </c>
      <c r="X79" s="133">
        <v>1030039369.72</v>
      </c>
      <c r="Y79" s="133">
        <v>1039092692.4400001</v>
      </c>
      <c r="Z79" s="133">
        <v>1063332692.4400001</v>
      </c>
      <c r="AA79" s="133">
        <v>1090141207.8199999</v>
      </c>
      <c r="AB79" s="135">
        <v>2136194507.3</v>
      </c>
      <c r="AC79" s="134">
        <f t="shared" si="32"/>
        <v>0</v>
      </c>
      <c r="AD79" s="89">
        <f>+N79-AB79</f>
        <v>458840267.85000014</v>
      </c>
      <c r="AF79" s="426">
        <f t="shared" ref="AF79:AF142" si="33">+N79/1000</f>
        <v>2595034.7751500001</v>
      </c>
    </row>
    <row r="80" spans="1:32" ht="15" customHeight="1" outlineLevel="1">
      <c r="A80" s="159">
        <v>2012</v>
      </c>
      <c r="B80" s="160" t="s">
        <v>583</v>
      </c>
      <c r="C80" s="133">
        <v>-305098962.81999999</v>
      </c>
      <c r="D80" s="133">
        <v>-312507482.39999998</v>
      </c>
      <c r="E80" s="133">
        <v>-320714356.37</v>
      </c>
      <c r="F80" s="133">
        <v>-328675386.30000001</v>
      </c>
      <c r="G80" s="102">
        <v>-336922214.89999998</v>
      </c>
      <c r="H80" s="133">
        <v>-345054212.36000001</v>
      </c>
      <c r="I80" s="133">
        <v>-354024254.79000002</v>
      </c>
      <c r="J80" s="133">
        <v>-362525209</v>
      </c>
      <c r="K80" s="133">
        <v>-371580746.93000001</v>
      </c>
      <c r="L80" s="133">
        <v>-381065533.83999997</v>
      </c>
      <c r="M80" s="133">
        <v>-408706984.82999998</v>
      </c>
      <c r="N80" s="133">
        <v>-829025300.99000001</v>
      </c>
      <c r="O80" s="134">
        <f t="shared" si="31"/>
        <v>0</v>
      </c>
      <c r="Q80" s="133">
        <v>-523115057.62</v>
      </c>
      <c r="R80" s="133">
        <v>-323369009.89999998</v>
      </c>
      <c r="S80" s="133">
        <v>-330656389.86000001</v>
      </c>
      <c r="T80" s="133">
        <v>-337745506.51999998</v>
      </c>
      <c r="U80" s="133">
        <v>-345014780.31999999</v>
      </c>
      <c r="V80" s="133">
        <v>-352817787.19</v>
      </c>
      <c r="W80" s="133">
        <v>-360870067.22000003</v>
      </c>
      <c r="X80" s="133">
        <v>-368976892.45999998</v>
      </c>
      <c r="Y80" s="133">
        <v>-376839813.52999997</v>
      </c>
      <c r="Z80" s="133">
        <v>-385023982.51999998</v>
      </c>
      <c r="AA80" s="133">
        <v>-392949105.31999999</v>
      </c>
      <c r="AB80" s="135">
        <v>-686665694.05999994</v>
      </c>
      <c r="AC80" s="134">
        <f t="shared" si="32"/>
        <v>0</v>
      </c>
      <c r="AF80" s="426">
        <f t="shared" si="33"/>
        <v>-829025.30099000002</v>
      </c>
    </row>
    <row r="81" spans="1:32" ht="15" customHeight="1" outlineLevel="1">
      <c r="A81" s="159">
        <v>2021</v>
      </c>
      <c r="B81" s="132" t="s">
        <v>584</v>
      </c>
      <c r="C81" s="133">
        <v>1185117498.25</v>
      </c>
      <c r="D81" s="133">
        <v>1192894516.4300001</v>
      </c>
      <c r="E81" s="133">
        <v>1219208818.6700001</v>
      </c>
      <c r="F81" s="133">
        <v>1514513994.4400001</v>
      </c>
      <c r="G81" s="102">
        <v>1514513994.4400001</v>
      </c>
      <c r="H81" s="133">
        <v>1514816258.99</v>
      </c>
      <c r="I81" s="133">
        <v>1519613977.1700001</v>
      </c>
      <c r="J81" s="133">
        <v>1453456910.6900001</v>
      </c>
      <c r="K81" s="133">
        <v>1454701456.1500001</v>
      </c>
      <c r="L81" s="133">
        <v>1466331265.24</v>
      </c>
      <c r="M81" s="133">
        <v>1471452256.1400001</v>
      </c>
      <c r="N81" s="133">
        <v>1885090432.3900001</v>
      </c>
      <c r="O81" s="134">
        <f t="shared" si="31"/>
        <v>0</v>
      </c>
      <c r="Q81" s="133">
        <v>795578204.20000005</v>
      </c>
      <c r="R81" s="133">
        <v>835677184.76999998</v>
      </c>
      <c r="S81" s="133">
        <v>837467212.03999996</v>
      </c>
      <c r="T81" s="133">
        <v>843137045.80999994</v>
      </c>
      <c r="U81" s="133">
        <v>853816027.63999999</v>
      </c>
      <c r="V81" s="133">
        <v>872491515.51999998</v>
      </c>
      <c r="W81" s="133">
        <v>875878575.88999999</v>
      </c>
      <c r="X81" s="133">
        <v>883426930.42999995</v>
      </c>
      <c r="Y81" s="133">
        <v>885240150.25</v>
      </c>
      <c r="Z81" s="133">
        <v>885240150.25</v>
      </c>
      <c r="AA81" s="133">
        <v>885161518.63</v>
      </c>
      <c r="AB81" s="135">
        <v>1636887545.72</v>
      </c>
      <c r="AC81" s="134">
        <f t="shared" si="32"/>
        <v>0</v>
      </c>
      <c r="AD81" s="89">
        <f>+N81-AB81</f>
        <v>248202886.67000008</v>
      </c>
      <c r="AF81" s="426">
        <f t="shared" si="33"/>
        <v>1885090.4323900002</v>
      </c>
    </row>
    <row r="82" spans="1:32" ht="15" customHeight="1" outlineLevel="1">
      <c r="A82" s="159">
        <v>2022</v>
      </c>
      <c r="B82" s="160" t="s">
        <v>585</v>
      </c>
      <c r="C82" s="133">
        <v>-580465149.63</v>
      </c>
      <c r="D82" s="133">
        <v>-600208447.47000003</v>
      </c>
      <c r="E82" s="133">
        <v>-621292056.74000001</v>
      </c>
      <c r="F82" s="133">
        <v>-641695846.13999999</v>
      </c>
      <c r="G82" s="102">
        <v>-670344416.64999998</v>
      </c>
      <c r="H82" s="133">
        <v>-697567043.29999995</v>
      </c>
      <c r="I82" s="133">
        <v>-725628681.54999995</v>
      </c>
      <c r="J82" s="133">
        <v>-684339158.58000004</v>
      </c>
      <c r="K82" s="133">
        <v>-711467618.01999998</v>
      </c>
      <c r="L82" s="133">
        <v>-739507269.39999998</v>
      </c>
      <c r="M82" s="133">
        <v>-766847305.52999997</v>
      </c>
      <c r="N82" s="133">
        <v>-1464235757</v>
      </c>
      <c r="O82" s="134">
        <f t="shared" si="31"/>
        <v>0</v>
      </c>
      <c r="Q82" s="133">
        <f>-524546723.41</f>
        <v>-524546723.41000003</v>
      </c>
      <c r="R82" s="133">
        <v>-495937407.63</v>
      </c>
      <c r="S82" s="133">
        <v>-508657812.55000001</v>
      </c>
      <c r="T82" s="133">
        <v>-520914348.66000003</v>
      </c>
      <c r="U82" s="133">
        <v>-533582715.88</v>
      </c>
      <c r="V82" s="133">
        <v>-545611129.84000003</v>
      </c>
      <c r="W82" s="133">
        <v>-558244863.46000004</v>
      </c>
      <c r="X82" s="133">
        <v>-570968565.15999997</v>
      </c>
      <c r="Y82" s="133">
        <v>-583419838.60000002</v>
      </c>
      <c r="Z82" s="133">
        <v>-596081413.67999995</v>
      </c>
      <c r="AA82" s="133">
        <v>-608262709.38</v>
      </c>
      <c r="AB82" s="135">
        <v>-1341105995.6099999</v>
      </c>
      <c r="AC82" s="134">
        <f t="shared" si="32"/>
        <v>0</v>
      </c>
      <c r="AF82" s="426">
        <f t="shared" si="33"/>
        <v>-1464235.757</v>
      </c>
    </row>
    <row r="83" spans="1:32" ht="15" customHeight="1" outlineLevel="1">
      <c r="A83" s="159">
        <v>2031</v>
      </c>
      <c r="B83" s="132" t="s">
        <v>251</v>
      </c>
      <c r="C83" s="133">
        <v>976207583.98000002</v>
      </c>
      <c r="D83" s="133">
        <v>976207583.98000002</v>
      </c>
      <c r="E83" s="133">
        <v>979194311.25</v>
      </c>
      <c r="F83" s="133">
        <v>1079312493.0699999</v>
      </c>
      <c r="G83" s="102">
        <v>1079312493.0699999</v>
      </c>
      <c r="H83" s="133">
        <v>1086290493.0699999</v>
      </c>
      <c r="I83" s="133">
        <v>1316190493.0699999</v>
      </c>
      <c r="J83" s="133">
        <v>1302333523.71</v>
      </c>
      <c r="K83" s="133">
        <v>1293054432.8099999</v>
      </c>
      <c r="L83" s="133">
        <v>1293054432.8099999</v>
      </c>
      <c r="M83" s="133">
        <v>1293054432.8099999</v>
      </c>
      <c r="N83" s="133">
        <v>1745621141.8399999</v>
      </c>
      <c r="O83" s="134">
        <f t="shared" si="31"/>
        <v>0</v>
      </c>
      <c r="Q83" s="133">
        <f>1027923831.37</f>
        <v>1027923831.37</v>
      </c>
      <c r="R83" s="133">
        <v>1013228493.0700001</v>
      </c>
      <c r="S83" s="133">
        <v>1013228493.0700001</v>
      </c>
      <c r="T83" s="133">
        <v>1013228493.0700001</v>
      </c>
      <c r="U83" s="133">
        <v>1013228493.0700001</v>
      </c>
      <c r="V83" s="133">
        <v>972137583.98000002</v>
      </c>
      <c r="W83" s="133">
        <v>972137583.98000002</v>
      </c>
      <c r="X83" s="133">
        <v>972137583.98000002</v>
      </c>
      <c r="Y83" s="133">
        <v>976207583.98000002</v>
      </c>
      <c r="Z83" s="133">
        <v>976207583.98000002</v>
      </c>
      <c r="AA83" s="133">
        <v>976207583.98000002</v>
      </c>
      <c r="AB83" s="135">
        <v>1559437969.5799999</v>
      </c>
      <c r="AC83" s="134">
        <f t="shared" si="32"/>
        <v>0</v>
      </c>
      <c r="AD83" s="89">
        <f>+N83-AB83</f>
        <v>186183172.25999999</v>
      </c>
      <c r="AF83" s="426">
        <f t="shared" si="33"/>
        <v>1745621.1418399999</v>
      </c>
    </row>
    <row r="84" spans="1:32" ht="15" customHeight="1" outlineLevel="1">
      <c r="A84" s="159">
        <v>2032</v>
      </c>
      <c r="B84" s="160" t="s">
        <v>586</v>
      </c>
      <c r="C84" s="133">
        <v>-346715110.00999999</v>
      </c>
      <c r="D84" s="133">
        <v>-353798323.20999998</v>
      </c>
      <c r="E84" s="133">
        <v>-361640452.11000001</v>
      </c>
      <c r="F84" s="133">
        <v>-369627438.50999999</v>
      </c>
      <c r="G84" s="102">
        <v>-378730278.19999999</v>
      </c>
      <c r="H84" s="133">
        <v>-387539477.89999998</v>
      </c>
      <c r="I84" s="133">
        <v>-396736002.38</v>
      </c>
      <c r="J84" s="133">
        <v>-397484170.38</v>
      </c>
      <c r="K84" s="133">
        <v>-399371486.60000002</v>
      </c>
      <c r="L84" s="133">
        <v>-410369300.49000001</v>
      </c>
      <c r="M84" s="133">
        <v>-421012346.19</v>
      </c>
      <c r="N84" s="133">
        <v>-552505028.86000001</v>
      </c>
      <c r="O84" s="134">
        <f t="shared" si="31"/>
        <v>0</v>
      </c>
      <c r="Q84" s="133">
        <f>-269463052.43</f>
        <v>-269463052.43000001</v>
      </c>
      <c r="R84" s="133">
        <v>-262121155.61000001</v>
      </c>
      <c r="S84" s="133">
        <v>-270262465.81999999</v>
      </c>
      <c r="T84" s="133">
        <v>-278141153.12</v>
      </c>
      <c r="U84" s="133">
        <v>-286282463.32999998</v>
      </c>
      <c r="V84" s="133">
        <v>-292473407.63</v>
      </c>
      <c r="W84" s="133">
        <v>-300265917.62</v>
      </c>
      <c r="X84" s="133">
        <v>-308058427.61000001</v>
      </c>
      <c r="Y84" s="133">
        <v>-315599566.31</v>
      </c>
      <c r="Z84" s="133">
        <v>-323441695.20999998</v>
      </c>
      <c r="AA84" s="133">
        <v>-331030852.20999998</v>
      </c>
      <c r="AB84" s="135">
        <v>-522225072.31999999</v>
      </c>
      <c r="AC84" s="134">
        <f t="shared" si="32"/>
        <v>0</v>
      </c>
      <c r="AF84" s="426">
        <f t="shared" si="33"/>
        <v>-552505.02885999996</v>
      </c>
    </row>
    <row r="85" spans="1:32" ht="15" customHeight="1" outlineLevel="1">
      <c r="A85" s="159">
        <v>2041</v>
      </c>
      <c r="B85" s="132" t="s">
        <v>587</v>
      </c>
      <c r="C85" s="133">
        <v>537785938.82000005</v>
      </c>
      <c r="D85" s="133">
        <v>537785938.82000005</v>
      </c>
      <c r="E85" s="133">
        <v>537785938.82000005</v>
      </c>
      <c r="F85" s="133">
        <v>537785938.82000005</v>
      </c>
      <c r="G85" s="102">
        <v>537785938.82000005</v>
      </c>
      <c r="H85" s="133">
        <v>537785938.82000005</v>
      </c>
      <c r="I85" s="133">
        <v>537785938.82000005</v>
      </c>
      <c r="J85" s="133">
        <v>475457798.47000003</v>
      </c>
      <c r="K85" s="133">
        <v>475457798.47000003</v>
      </c>
      <c r="L85" s="133">
        <v>475457798.47000003</v>
      </c>
      <c r="M85" s="133">
        <v>282093052.83999997</v>
      </c>
      <c r="N85" s="133">
        <v>334557566.33999997</v>
      </c>
      <c r="O85" s="134">
        <f t="shared" si="31"/>
        <v>0</v>
      </c>
      <c r="Q85" s="133">
        <v>659021156.95000005</v>
      </c>
      <c r="R85" s="133">
        <v>570303053.53999996</v>
      </c>
      <c r="S85" s="133">
        <v>570390441.71000004</v>
      </c>
      <c r="T85" s="133">
        <v>570390441.71000004</v>
      </c>
      <c r="U85" s="133">
        <v>570390441.71000004</v>
      </c>
      <c r="V85" s="133">
        <v>574720441.71000004</v>
      </c>
      <c r="W85" s="133">
        <v>588445130.13</v>
      </c>
      <c r="X85" s="133">
        <v>598718670.46000004</v>
      </c>
      <c r="Y85" s="133">
        <v>598718670.46000004</v>
      </c>
      <c r="Z85" s="133">
        <v>598718670.46000004</v>
      </c>
      <c r="AA85" s="133">
        <v>593031688.07000005</v>
      </c>
      <c r="AB85" s="135">
        <v>334557566.33999997</v>
      </c>
      <c r="AC85" s="134">
        <f t="shared" si="32"/>
        <v>0</v>
      </c>
      <c r="AD85" s="89">
        <f>+N85-AB85</f>
        <v>0</v>
      </c>
      <c r="AF85" s="426">
        <f t="shared" si="33"/>
        <v>334557.56633999996</v>
      </c>
    </row>
    <row r="86" spans="1:32" ht="15" customHeight="1" outlineLevel="1">
      <c r="A86" s="159">
        <v>2042</v>
      </c>
      <c r="B86" s="160" t="s">
        <v>588</v>
      </c>
      <c r="C86" s="133">
        <v>-183065765.11000001</v>
      </c>
      <c r="D86" s="133">
        <v>-186896346.55000001</v>
      </c>
      <c r="E86" s="133">
        <v>-191137347.43000001</v>
      </c>
      <c r="F86" s="133">
        <v>-195241541.83000001</v>
      </c>
      <c r="G86" s="102">
        <v>-199480167.19999999</v>
      </c>
      <c r="H86" s="133">
        <v>-203580709.40000001</v>
      </c>
      <c r="I86" s="133">
        <v>-207817936.34</v>
      </c>
      <c r="J86" s="133">
        <v>-156357713.08000001</v>
      </c>
      <c r="K86" s="133">
        <v>-159953598.58000001</v>
      </c>
      <c r="L86" s="133">
        <v>-163669346.93000001</v>
      </c>
      <c r="M86" s="133">
        <v>-113328067.95999999</v>
      </c>
      <c r="N86" s="133">
        <v>-255517227.53999999</v>
      </c>
      <c r="O86" s="134">
        <f t="shared" si="31"/>
        <v>0</v>
      </c>
      <c r="Q86" s="133">
        <v>-273075068.16000003</v>
      </c>
      <c r="R86" s="133">
        <v>-188323202.78</v>
      </c>
      <c r="S86" s="133">
        <v>-192710810.63</v>
      </c>
      <c r="T86" s="133">
        <v>-196960218.53</v>
      </c>
      <c r="U86" s="133">
        <v>-201351273.36000001</v>
      </c>
      <c r="V86" s="133">
        <v>-205600681.25999999</v>
      </c>
      <c r="W86" s="133">
        <v>-210028491.24000001</v>
      </c>
      <c r="X86" s="133">
        <v>-214471822.96000001</v>
      </c>
      <c r="Y86" s="133">
        <v>-218792858.86000001</v>
      </c>
      <c r="Z86" s="133">
        <v>-223257929.28999999</v>
      </c>
      <c r="AA86" s="133">
        <v>-223925155.97999999</v>
      </c>
      <c r="AB86" s="135">
        <v>-235666388.72</v>
      </c>
      <c r="AC86" s="134">
        <f t="shared" si="32"/>
        <v>0</v>
      </c>
      <c r="AF86" s="426">
        <f t="shared" si="33"/>
        <v>-255517.22753999999</v>
      </c>
    </row>
    <row r="87" spans="1:32" ht="15" customHeight="1" outlineLevel="1">
      <c r="A87" s="159">
        <v>2051</v>
      </c>
      <c r="B87" s="132" t="s">
        <v>589</v>
      </c>
      <c r="C87" s="133">
        <v>32689471709.419998</v>
      </c>
      <c r="D87" s="133">
        <v>32796040749.040001</v>
      </c>
      <c r="E87" s="133">
        <v>33108734959.310001</v>
      </c>
      <c r="F87" s="133">
        <v>33403441798.470001</v>
      </c>
      <c r="G87" s="102">
        <v>33403441798.470001</v>
      </c>
      <c r="H87" s="133">
        <v>34290118557.889999</v>
      </c>
      <c r="I87" s="133">
        <v>34363606083.730003</v>
      </c>
      <c r="J87" s="133">
        <v>34382736757.830002</v>
      </c>
      <c r="K87" s="133">
        <v>34158007217.32</v>
      </c>
      <c r="L87" s="133">
        <v>34158007217.32</v>
      </c>
      <c r="M87" s="133">
        <v>35044289956.510002</v>
      </c>
      <c r="N87" s="133">
        <v>47140076284.690002</v>
      </c>
      <c r="O87" s="134">
        <f t="shared" si="31"/>
        <v>0</v>
      </c>
      <c r="Q87" s="133">
        <v>29511682584.560001</v>
      </c>
      <c r="R87" s="133">
        <v>27631080975.389999</v>
      </c>
      <c r="S87" s="133">
        <v>28075149718.669998</v>
      </c>
      <c r="T87" s="133">
        <v>31705771829.259998</v>
      </c>
      <c r="U87" s="133">
        <v>32088025859.310001</v>
      </c>
      <c r="V87" s="133">
        <v>32457226548.09</v>
      </c>
      <c r="W87" s="133">
        <v>32648692732.77</v>
      </c>
      <c r="X87" s="133">
        <v>32744810017.720001</v>
      </c>
      <c r="Y87" s="133">
        <f>32808903114.03</f>
        <v>32808903114.029999</v>
      </c>
      <c r="Z87" s="133">
        <v>32814268642.98</v>
      </c>
      <c r="AA87" s="133">
        <v>33015042655.560001</v>
      </c>
      <c r="AB87" s="135">
        <v>39997592967.290001</v>
      </c>
      <c r="AC87" s="134">
        <f t="shared" si="32"/>
        <v>0</v>
      </c>
      <c r="AD87" s="89">
        <f>+N87-AB87</f>
        <v>7142483317.4000015</v>
      </c>
      <c r="AF87" s="426">
        <f t="shared" si="33"/>
        <v>47140076.28469</v>
      </c>
    </row>
    <row r="88" spans="1:32" ht="15" customHeight="1" outlineLevel="1">
      <c r="A88" s="159">
        <v>2052</v>
      </c>
      <c r="B88" s="160" t="s">
        <v>590</v>
      </c>
      <c r="C88" s="133">
        <v>-16461743189.690001</v>
      </c>
      <c r="D88" s="133">
        <v>-16644434585.110001</v>
      </c>
      <c r="E88" s="133">
        <v>-16856106513.08</v>
      </c>
      <c r="F88" s="133">
        <v>-17060860988.639999</v>
      </c>
      <c r="G88" s="102">
        <v>-17287601093.279999</v>
      </c>
      <c r="H88" s="133">
        <v>-17489018981.700001</v>
      </c>
      <c r="I88" s="133">
        <v>-17723960729.599998</v>
      </c>
      <c r="J88" s="133">
        <v>-17911148421.52</v>
      </c>
      <c r="K88" s="133">
        <v>-17588011220.02</v>
      </c>
      <c r="L88" s="133">
        <v>-17815627254.630001</v>
      </c>
      <c r="M88" s="133">
        <v>-18019813585.610001</v>
      </c>
      <c r="N88" s="133">
        <v>-26353031600.790001</v>
      </c>
      <c r="O88" s="134">
        <f t="shared" si="31"/>
        <v>0</v>
      </c>
      <c r="Q88" s="133">
        <v>-16504257798.530001</v>
      </c>
      <c r="R88" s="133">
        <v>-14710115491.799999</v>
      </c>
      <c r="S88" s="133">
        <v>-14870511303.709999</v>
      </c>
      <c r="T88" s="133">
        <v>-15026628279.889999</v>
      </c>
      <c r="U88" s="133">
        <v>-15218204665.17</v>
      </c>
      <c r="V88" s="133">
        <v>-15430914473.09</v>
      </c>
      <c r="W88" s="133">
        <v>-15646056910.23</v>
      </c>
      <c r="X88" s="133">
        <v>-15853955953.129999</v>
      </c>
      <c r="Y88" s="133">
        <v>-16049224313.459999</v>
      </c>
      <c r="Z88" s="133">
        <v>-16248660390.190001</v>
      </c>
      <c r="AA88" s="133">
        <v>-16445163345.780001</v>
      </c>
      <c r="AB88" s="135">
        <v>-23104803507.540001</v>
      </c>
      <c r="AC88" s="134">
        <f t="shared" si="32"/>
        <v>0</v>
      </c>
      <c r="AF88" s="426">
        <f t="shared" si="33"/>
        <v>-26353031.600790001</v>
      </c>
    </row>
    <row r="89" spans="1:32" ht="15" customHeight="1" outlineLevel="1">
      <c r="A89" s="159">
        <v>2301</v>
      </c>
      <c r="B89" s="132" t="s">
        <v>591</v>
      </c>
      <c r="C89" s="133"/>
      <c r="D89" s="133"/>
      <c r="E89" s="133"/>
      <c r="F89" s="133"/>
      <c r="G89" s="102"/>
      <c r="H89" s="133"/>
      <c r="I89" s="133"/>
      <c r="J89" s="133"/>
      <c r="K89" s="133"/>
      <c r="L89" s="133"/>
      <c r="M89" s="133"/>
      <c r="N89" s="133">
        <v>8240462576</v>
      </c>
      <c r="O89" s="134">
        <f t="shared" si="31"/>
        <v>0</v>
      </c>
      <c r="Q89" s="133"/>
      <c r="R89" s="133"/>
      <c r="S89" s="133"/>
      <c r="T89" s="133"/>
      <c r="U89" s="133"/>
      <c r="V89" s="133"/>
      <c r="W89" s="133"/>
      <c r="X89" s="133"/>
      <c r="Y89" s="133"/>
      <c r="Z89" s="133"/>
      <c r="AA89" s="133"/>
      <c r="AB89" s="135">
        <v>8129400643.9799995</v>
      </c>
      <c r="AC89" s="134">
        <f t="shared" si="32"/>
        <v>0</v>
      </c>
      <c r="AF89" s="426">
        <f t="shared" si="33"/>
        <v>8240462.5760000004</v>
      </c>
    </row>
    <row r="90" spans="1:32" ht="15" customHeight="1" outlineLevel="1">
      <c r="A90" s="159">
        <v>2302</v>
      </c>
      <c r="B90" s="132" t="s">
        <v>592</v>
      </c>
      <c r="C90" s="133"/>
      <c r="D90" s="133"/>
      <c r="E90" s="133"/>
      <c r="F90" s="133">
        <v>438356.16</v>
      </c>
      <c r="G90" s="102">
        <v>13589041.09</v>
      </c>
      <c r="H90" s="133">
        <v>27178082.190000001</v>
      </c>
      <c r="I90" s="133">
        <v>40328767.119999997</v>
      </c>
      <c r="J90" s="133">
        <v>53917808.210000001</v>
      </c>
      <c r="K90" s="133">
        <v>67506849.310000002</v>
      </c>
      <c r="L90" s="133">
        <v>80657534.239999995</v>
      </c>
      <c r="M90" s="133">
        <v>94246575.329999998</v>
      </c>
      <c r="N90" s="133"/>
      <c r="O90" s="134">
        <f t="shared" si="31"/>
        <v>0</v>
      </c>
      <c r="Q90" s="133"/>
      <c r="R90" s="133"/>
      <c r="S90" s="133"/>
      <c r="T90" s="133"/>
      <c r="U90" s="133"/>
      <c r="V90" s="133"/>
      <c r="W90" s="133"/>
      <c r="X90" s="133"/>
      <c r="Y90" s="133"/>
      <c r="Z90" s="133"/>
      <c r="AA90" s="133"/>
      <c r="AB90" s="135"/>
      <c r="AC90" s="134">
        <f t="shared" si="32"/>
        <v>0</v>
      </c>
      <c r="AF90" s="426">
        <f t="shared" si="33"/>
        <v>0</v>
      </c>
    </row>
    <row r="91" spans="1:32">
      <c r="A91" s="138"/>
      <c r="B91" s="127" t="s">
        <v>17</v>
      </c>
      <c r="C91" s="133">
        <f>SUM(C92:C95)</f>
        <v>33324414.43</v>
      </c>
      <c r="D91" s="133">
        <f>SUM(D92:D95)</f>
        <v>32676562.670000002</v>
      </c>
      <c r="E91" s="133">
        <f>SUM(E92:E95)</f>
        <v>30872248.59</v>
      </c>
      <c r="F91" s="133">
        <f t="shared" ref="F91:O91" si="34">SUM(F92:F95)</f>
        <v>29126138.190000001</v>
      </c>
      <c r="G91" s="133">
        <f t="shared" si="34"/>
        <v>27321824.109999999</v>
      </c>
      <c r="H91" s="133">
        <f t="shared" si="34"/>
        <v>25575713.710000001</v>
      </c>
      <c r="I91" s="133">
        <f t="shared" si="34"/>
        <v>23771399.629999999</v>
      </c>
      <c r="J91" s="133">
        <f t="shared" si="34"/>
        <v>22898587.57</v>
      </c>
      <c r="K91" s="133">
        <v>21329427.969999999</v>
      </c>
      <c r="L91" s="133">
        <v>19707963.050000001</v>
      </c>
      <c r="M91" s="133">
        <v>19794803.449999999</v>
      </c>
      <c r="N91" s="133">
        <v>168964010.38</v>
      </c>
      <c r="O91" s="134">
        <f t="shared" si="34"/>
        <v>0</v>
      </c>
      <c r="Q91" s="133">
        <f>SUM(Q92:Q95)</f>
        <v>59372779.710000001</v>
      </c>
      <c r="R91" s="133">
        <f>SUM(R92:R95)</f>
        <v>56725595.310000002</v>
      </c>
      <c r="S91" s="133">
        <f t="shared" ref="S91:AC91" si="35">SUM(S92:S95)</f>
        <v>53794784.009999998</v>
      </c>
      <c r="T91" s="133">
        <f t="shared" si="35"/>
        <v>50958515.009999998</v>
      </c>
      <c r="U91" s="133">
        <f t="shared" si="35"/>
        <v>51682249.159999996</v>
      </c>
      <c r="V91" s="133">
        <f t="shared" si="35"/>
        <v>48745946.960000001</v>
      </c>
      <c r="W91" s="133">
        <f t="shared" si="35"/>
        <v>45711768.020000003</v>
      </c>
      <c r="X91" s="133">
        <f t="shared" si="35"/>
        <v>42677589.079999998</v>
      </c>
      <c r="Y91" s="133">
        <f t="shared" si="35"/>
        <v>42441286.880000003</v>
      </c>
      <c r="Z91" s="133">
        <f t="shared" si="35"/>
        <v>39330739.439999998</v>
      </c>
      <c r="AA91" s="133">
        <f t="shared" si="35"/>
        <v>36320532.240000002</v>
      </c>
      <c r="AB91" s="135">
        <v>236741643.5</v>
      </c>
      <c r="AC91" s="134">
        <f t="shared" si="35"/>
        <v>0</v>
      </c>
      <c r="AF91" s="426">
        <f t="shared" si="33"/>
        <v>168964.01037999999</v>
      </c>
    </row>
    <row r="92" spans="1:32" ht="15" customHeight="1" outlineLevel="1">
      <c r="A92" s="159" t="s">
        <v>593</v>
      </c>
      <c r="B92" s="132" t="s">
        <v>594</v>
      </c>
      <c r="C92" s="133">
        <v>33324414.43</v>
      </c>
      <c r="D92" s="133">
        <v>32676562.670000002</v>
      </c>
      <c r="E92" s="133">
        <v>30872248.59</v>
      </c>
      <c r="F92" s="133">
        <v>29126138.190000001</v>
      </c>
      <c r="G92" s="102">
        <v>27321824.109999999</v>
      </c>
      <c r="H92" s="133">
        <v>25575713.710000001</v>
      </c>
      <c r="I92" s="133">
        <v>23771399.629999999</v>
      </c>
      <c r="J92" s="133">
        <v>22898587.57</v>
      </c>
      <c r="K92" s="133">
        <v>21329427.969999999</v>
      </c>
      <c r="L92" s="133">
        <v>19707963.050000001</v>
      </c>
      <c r="M92" s="133">
        <v>19794803.449999999</v>
      </c>
      <c r="N92" s="133">
        <v>244219264.28999999</v>
      </c>
      <c r="O92" s="134">
        <f>AU92</f>
        <v>0</v>
      </c>
      <c r="Q92" s="133">
        <v>59372779.710000001</v>
      </c>
      <c r="R92" s="133">
        <f>56725595.31</f>
        <v>56725595.310000002</v>
      </c>
      <c r="S92" s="133">
        <v>53794784.009999998</v>
      </c>
      <c r="T92" s="133">
        <v>50958515.009999998</v>
      </c>
      <c r="U92" s="133">
        <v>51682249.159999996</v>
      </c>
      <c r="V92" s="133">
        <v>48745946.960000001</v>
      </c>
      <c r="W92" s="133">
        <v>45711768.020000003</v>
      </c>
      <c r="X92" s="133">
        <v>42677589.079999998</v>
      </c>
      <c r="Y92" s="133">
        <v>42441286.880000003</v>
      </c>
      <c r="Z92" s="133">
        <v>39330739.439999998</v>
      </c>
      <c r="AA92" s="133">
        <v>36320532.240000002</v>
      </c>
      <c r="AB92" s="135">
        <v>205717034.49000001</v>
      </c>
      <c r="AC92" s="134">
        <f>BI92</f>
        <v>0</v>
      </c>
      <c r="AF92" s="426">
        <f t="shared" si="33"/>
        <v>244219.26428999999</v>
      </c>
    </row>
    <row r="93" spans="1:32" ht="15" customHeight="1" outlineLevel="1">
      <c r="A93" s="159">
        <v>2102</v>
      </c>
      <c r="B93" s="160" t="s">
        <v>595</v>
      </c>
      <c r="C93" s="133"/>
      <c r="D93" s="133"/>
      <c r="E93" s="133"/>
      <c r="F93" s="133"/>
      <c r="G93" s="102"/>
      <c r="H93" s="133"/>
      <c r="I93" s="133"/>
      <c r="J93" s="133"/>
      <c r="K93" s="133"/>
      <c r="L93" s="133"/>
      <c r="M93" s="133"/>
      <c r="N93" s="133">
        <v>-165227441.82999998</v>
      </c>
      <c r="O93" s="134">
        <f>AU93</f>
        <v>0</v>
      </c>
      <c r="Q93" s="133"/>
      <c r="R93" s="133"/>
      <c r="S93" s="133"/>
      <c r="T93" s="133"/>
      <c r="U93" s="133"/>
      <c r="V93" s="133"/>
      <c r="W93" s="133"/>
      <c r="X93" s="133"/>
      <c r="Y93" s="133"/>
      <c r="Z93" s="137"/>
      <c r="AA93" s="133"/>
      <c r="AB93" s="135">
        <v>-109776173.37</v>
      </c>
      <c r="AC93" s="161">
        <f>BI93</f>
        <v>0</v>
      </c>
      <c r="AD93" s="89">
        <f>+N93-AB93</f>
        <v>-55451268.459999979</v>
      </c>
      <c r="AF93" s="426">
        <f t="shared" si="33"/>
        <v>-165227.44183</v>
      </c>
    </row>
    <row r="94" spans="1:32" ht="15" customHeight="1" outlineLevel="1">
      <c r="A94" s="159">
        <v>2111</v>
      </c>
      <c r="B94" s="132" t="s">
        <v>231</v>
      </c>
      <c r="C94" s="133"/>
      <c r="D94" s="133"/>
      <c r="E94" s="133"/>
      <c r="F94" s="133"/>
      <c r="G94" s="102"/>
      <c r="H94" s="133"/>
      <c r="I94" s="133"/>
      <c r="J94" s="133"/>
      <c r="K94" s="133"/>
      <c r="L94" s="133"/>
      <c r="M94" s="133"/>
      <c r="N94" s="133">
        <v>141869457.94</v>
      </c>
      <c r="O94" s="134">
        <f>AU94</f>
        <v>0</v>
      </c>
      <c r="Q94" s="133"/>
      <c r="R94" s="133"/>
      <c r="S94" s="133"/>
      <c r="T94" s="133"/>
      <c r="U94" s="133"/>
      <c r="V94" s="133"/>
      <c r="W94" s="133"/>
      <c r="X94" s="133"/>
      <c r="Y94" s="133"/>
      <c r="Z94" s="137"/>
      <c r="AA94" s="133"/>
      <c r="AB94" s="135">
        <v>141869457.94</v>
      </c>
      <c r="AC94" s="161">
        <f>BI94</f>
        <v>0</v>
      </c>
      <c r="AF94" s="426">
        <f t="shared" si="33"/>
        <v>141869.45793999999</v>
      </c>
    </row>
    <row r="95" spans="1:32" ht="15" customHeight="1" outlineLevel="1">
      <c r="A95" s="159" t="s">
        <v>596</v>
      </c>
      <c r="B95" s="160" t="s">
        <v>597</v>
      </c>
      <c r="C95" s="133"/>
      <c r="D95" s="133"/>
      <c r="E95" s="133"/>
      <c r="F95" s="133"/>
      <c r="G95" s="102"/>
      <c r="H95" s="133"/>
      <c r="I95" s="133"/>
      <c r="J95" s="133"/>
      <c r="K95" s="133"/>
      <c r="L95" s="133"/>
      <c r="M95" s="133"/>
      <c r="N95" s="133">
        <v>-51897270.020000003</v>
      </c>
      <c r="O95" s="134">
        <f>AU95</f>
        <v>0</v>
      </c>
      <c r="Q95" s="133"/>
      <c r="R95" s="133"/>
      <c r="S95" s="133"/>
      <c r="T95" s="133"/>
      <c r="U95" s="133"/>
      <c r="V95" s="133"/>
      <c r="W95" s="133"/>
      <c r="X95" s="133"/>
      <c r="Y95" s="133"/>
      <c r="Z95" s="137"/>
      <c r="AA95" s="133"/>
      <c r="AB95" s="135">
        <v>-1068675.56</v>
      </c>
      <c r="AC95" s="161">
        <f>BI95</f>
        <v>0</v>
      </c>
      <c r="AD95" s="89">
        <f>+N95-AB95</f>
        <v>-50828594.460000001</v>
      </c>
      <c r="AF95" s="426">
        <f t="shared" si="33"/>
        <v>-51897.270020000004</v>
      </c>
    </row>
    <row r="96" spans="1:32" ht="15" customHeight="1" outlineLevel="1">
      <c r="A96" s="162">
        <v>2190</v>
      </c>
      <c r="B96" s="163" t="s">
        <v>598</v>
      </c>
      <c r="C96" s="133"/>
      <c r="D96" s="133"/>
      <c r="E96" s="133"/>
      <c r="F96" s="133"/>
      <c r="G96" s="102"/>
      <c r="H96" s="133"/>
      <c r="I96" s="133"/>
      <c r="J96" s="133"/>
      <c r="K96" s="133"/>
      <c r="L96" s="133"/>
      <c r="M96" s="133"/>
      <c r="N96" s="133"/>
      <c r="O96" s="134">
        <f>AU96</f>
        <v>0</v>
      </c>
      <c r="Q96" s="133"/>
      <c r="R96" s="133"/>
      <c r="S96" s="133"/>
      <c r="T96" s="133"/>
      <c r="U96" s="133"/>
      <c r="V96" s="133"/>
      <c r="W96" s="133"/>
      <c r="X96" s="133"/>
      <c r="Y96" s="133"/>
      <c r="Z96" s="137"/>
      <c r="AA96" s="133"/>
      <c r="AB96" s="135"/>
      <c r="AC96" s="161">
        <f>BI96</f>
        <v>0</v>
      </c>
      <c r="AF96" s="426">
        <f t="shared" si="33"/>
        <v>0</v>
      </c>
    </row>
    <row r="97" spans="1:32">
      <c r="A97" s="159"/>
      <c r="B97" s="127" t="s">
        <v>599</v>
      </c>
      <c r="C97" s="133">
        <f>SUM(C98:C101)</f>
        <v>9000000</v>
      </c>
      <c r="D97" s="133">
        <f>SUM(D98:D101)</f>
        <v>9000000</v>
      </c>
      <c r="E97" s="133">
        <f>SUM(E98:E101)</f>
        <v>9000000</v>
      </c>
      <c r="F97" s="133">
        <f t="shared" ref="F97:O97" si="36">SUM(F98:F101)</f>
        <v>9000000</v>
      </c>
      <c r="G97" s="133">
        <f t="shared" si="36"/>
        <v>9000000</v>
      </c>
      <c r="H97" s="133">
        <f t="shared" si="36"/>
        <v>9000000</v>
      </c>
      <c r="I97" s="133">
        <f t="shared" si="36"/>
        <v>9000000</v>
      </c>
      <c r="J97" s="133">
        <f t="shared" si="36"/>
        <v>9000000</v>
      </c>
      <c r="K97" s="133">
        <v>9000000</v>
      </c>
      <c r="L97" s="133">
        <v>9000000</v>
      </c>
      <c r="M97" s="133">
        <v>9000000</v>
      </c>
      <c r="N97" s="133">
        <v>485216339.50999999</v>
      </c>
      <c r="O97" s="134">
        <f t="shared" si="36"/>
        <v>0</v>
      </c>
      <c r="Q97" s="133">
        <f>SUM(Q98:Q101)</f>
        <v>9000000</v>
      </c>
      <c r="R97" s="133">
        <f>SUM(R98:R101)</f>
        <v>9000000</v>
      </c>
      <c r="S97" s="133">
        <f t="shared" ref="S97:AC97" si="37">SUM(S98:S101)</f>
        <v>9000000</v>
      </c>
      <c r="T97" s="133">
        <f t="shared" si="37"/>
        <v>9000000</v>
      </c>
      <c r="U97" s="133">
        <f t="shared" si="37"/>
        <v>9000000</v>
      </c>
      <c r="V97" s="133">
        <f t="shared" si="37"/>
        <v>9000000</v>
      </c>
      <c r="W97" s="133">
        <f t="shared" si="37"/>
        <v>9000000</v>
      </c>
      <c r="X97" s="133">
        <f t="shared" si="37"/>
        <v>9000000</v>
      </c>
      <c r="Y97" s="133">
        <f t="shared" si="37"/>
        <v>9000000</v>
      </c>
      <c r="Z97" s="137">
        <f t="shared" si="37"/>
        <v>9000000</v>
      </c>
      <c r="AA97" s="133">
        <f t="shared" si="37"/>
        <v>9000000</v>
      </c>
      <c r="AB97" s="135">
        <v>432555139.50999999</v>
      </c>
      <c r="AC97" s="161">
        <f t="shared" si="37"/>
        <v>0</v>
      </c>
      <c r="AF97" s="426">
        <f t="shared" si="33"/>
        <v>485216.33950999996</v>
      </c>
    </row>
    <row r="98" spans="1:32" ht="15" customHeight="1" outlineLevel="1">
      <c r="A98" s="138">
        <v>2201</v>
      </c>
      <c r="B98" s="132" t="s">
        <v>600</v>
      </c>
      <c r="C98" s="133"/>
      <c r="D98" s="133"/>
      <c r="E98" s="133"/>
      <c r="F98" s="133"/>
      <c r="G98" s="102"/>
      <c r="H98" s="133"/>
      <c r="I98" s="133"/>
      <c r="J98" s="133"/>
      <c r="K98" s="133"/>
      <c r="L98" s="133"/>
      <c r="M98" s="133"/>
      <c r="N98" s="133">
        <v>476216339.50999999</v>
      </c>
      <c r="O98" s="134">
        <f>AU98</f>
        <v>0</v>
      </c>
      <c r="Q98" s="133"/>
      <c r="R98" s="133"/>
      <c r="S98" s="133"/>
      <c r="T98" s="133"/>
      <c r="U98" s="133"/>
      <c r="V98" s="133"/>
      <c r="W98" s="133"/>
      <c r="X98" s="133"/>
      <c r="Y98" s="133"/>
      <c r="Z98" s="137"/>
      <c r="AA98" s="133"/>
      <c r="AB98" s="135">
        <v>423555139.50999999</v>
      </c>
      <c r="AC98" s="161">
        <f>BI98</f>
        <v>0</v>
      </c>
      <c r="AF98" s="426">
        <f t="shared" si="33"/>
        <v>476216.33950999996</v>
      </c>
    </row>
    <row r="99" spans="1:32" ht="15" customHeight="1" outlineLevel="1">
      <c r="A99" s="138">
        <v>2202</v>
      </c>
      <c r="B99" s="132" t="s">
        <v>601</v>
      </c>
      <c r="C99" s="133"/>
      <c r="D99" s="133"/>
      <c r="E99" s="133"/>
      <c r="F99" s="133"/>
      <c r="G99" s="102"/>
      <c r="H99" s="133"/>
      <c r="I99" s="133"/>
      <c r="J99" s="133"/>
      <c r="K99" s="133"/>
      <c r="L99" s="133"/>
      <c r="M99" s="133"/>
      <c r="N99" s="133"/>
      <c r="O99" s="134">
        <f>AU99</f>
        <v>0</v>
      </c>
      <c r="Q99" s="133"/>
      <c r="R99" s="133"/>
      <c r="S99" s="133"/>
      <c r="T99" s="133"/>
      <c r="U99" s="133"/>
      <c r="V99" s="133"/>
      <c r="W99" s="137"/>
      <c r="X99" s="133"/>
      <c r="Y99" s="133"/>
      <c r="Z99" s="137"/>
      <c r="AA99" s="133"/>
      <c r="AB99" s="135"/>
      <c r="AC99" s="161">
        <f>BI99</f>
        <v>0</v>
      </c>
      <c r="AF99" s="426">
        <f t="shared" si="33"/>
        <v>0</v>
      </c>
    </row>
    <row r="100" spans="1:32" ht="15" customHeight="1" outlineLevel="1">
      <c r="A100" s="138">
        <v>2203</v>
      </c>
      <c r="B100" s="132" t="s">
        <v>602</v>
      </c>
      <c r="C100" s="133"/>
      <c r="D100" s="133"/>
      <c r="E100" s="133"/>
      <c r="F100" s="133"/>
      <c r="G100" s="102"/>
      <c r="H100" s="133"/>
      <c r="I100" s="133"/>
      <c r="J100" s="133"/>
      <c r="K100" s="133"/>
      <c r="L100" s="133"/>
      <c r="M100" s="133"/>
      <c r="N100" s="133"/>
      <c r="O100" s="134">
        <f>AU100</f>
        <v>0</v>
      </c>
      <c r="Q100" s="133"/>
      <c r="R100" s="133"/>
      <c r="S100" s="133"/>
      <c r="T100" s="133"/>
      <c r="U100" s="133"/>
      <c r="V100" s="133"/>
      <c r="W100" s="137"/>
      <c r="X100" s="133"/>
      <c r="Y100" s="133"/>
      <c r="Z100" s="137"/>
      <c r="AA100" s="133"/>
      <c r="AB100" s="135"/>
      <c r="AC100" s="161">
        <f>BI100</f>
        <v>0</v>
      </c>
      <c r="AF100" s="426">
        <f t="shared" si="33"/>
        <v>0</v>
      </c>
    </row>
    <row r="101" spans="1:32" ht="15" customHeight="1" outlineLevel="1">
      <c r="A101" s="162">
        <v>2204</v>
      </c>
      <c r="B101" s="163" t="s">
        <v>603</v>
      </c>
      <c r="C101" s="133">
        <v>9000000</v>
      </c>
      <c r="D101" s="133">
        <v>9000000</v>
      </c>
      <c r="E101" s="133">
        <v>9000000</v>
      </c>
      <c r="F101" s="133">
        <f>9438356.16-F90</f>
        <v>9000000</v>
      </c>
      <c r="G101" s="102">
        <v>9000000</v>
      </c>
      <c r="H101" s="133">
        <v>9000000</v>
      </c>
      <c r="I101" s="133">
        <v>9000000</v>
      </c>
      <c r="J101" s="133">
        <v>9000000</v>
      </c>
      <c r="K101" s="133">
        <v>9000000</v>
      </c>
      <c r="L101" s="133">
        <v>9000000</v>
      </c>
      <c r="M101" s="133">
        <v>9000000</v>
      </c>
      <c r="N101" s="133">
        <v>9000000</v>
      </c>
      <c r="O101" s="134">
        <f>AU101</f>
        <v>0</v>
      </c>
      <c r="Q101" s="133">
        <f>385261515+9000000-385261515</f>
        <v>9000000</v>
      </c>
      <c r="R101" s="133">
        <f>385261515+9000000-385261515</f>
        <v>9000000</v>
      </c>
      <c r="S101" s="133">
        <f>385261515+9000000-385261515</f>
        <v>9000000</v>
      </c>
      <c r="T101" s="133">
        <f>385261515+9000000-385261515</f>
        <v>9000000</v>
      </c>
      <c r="U101" s="133">
        <v>9000000</v>
      </c>
      <c r="V101" s="133">
        <v>9000000</v>
      </c>
      <c r="W101" s="133">
        <v>9000000</v>
      </c>
      <c r="X101" s="133">
        <v>9000000</v>
      </c>
      <c r="Y101" s="133">
        <v>9000000</v>
      </c>
      <c r="Z101" s="133">
        <v>9000000</v>
      </c>
      <c r="AA101" s="133">
        <v>9000000</v>
      </c>
      <c r="AB101" s="135">
        <v>9000000</v>
      </c>
      <c r="AC101" s="161">
        <f>BI101</f>
        <v>0</v>
      </c>
      <c r="AF101" s="426">
        <f t="shared" si="33"/>
        <v>9000</v>
      </c>
    </row>
    <row r="102" spans="1:32">
      <c r="A102" s="138"/>
      <c r="B102" s="164" t="s">
        <v>23</v>
      </c>
      <c r="C102" s="133">
        <f>SUM(C103:C105)</f>
        <v>461403580.90999997</v>
      </c>
      <c r="D102" s="133">
        <f>SUM(D103:D105)</f>
        <v>462388155.15999997</v>
      </c>
      <c r="E102" s="133">
        <f>SUM(E103:E105)</f>
        <v>487762948.12</v>
      </c>
      <c r="F102" s="133">
        <f t="shared" ref="F102:O102" si="38">SUM(F103:F105)</f>
        <v>512798596.88</v>
      </c>
      <c r="G102" s="137">
        <f t="shared" si="38"/>
        <v>530089574.35000002</v>
      </c>
      <c r="H102" s="133">
        <f t="shared" si="38"/>
        <v>535393752.19999999</v>
      </c>
      <c r="I102" s="133">
        <f t="shared" si="38"/>
        <v>522492192.05000001</v>
      </c>
      <c r="J102" s="133">
        <f t="shared" si="38"/>
        <v>484258381</v>
      </c>
      <c r="K102" s="133">
        <v>474074940.19999999</v>
      </c>
      <c r="L102" s="133">
        <v>484673273.87</v>
      </c>
      <c r="M102" s="133">
        <v>701954936.92000008</v>
      </c>
      <c r="N102" s="133">
        <v>83930395.75</v>
      </c>
      <c r="O102" s="142">
        <f t="shared" si="38"/>
        <v>0</v>
      </c>
      <c r="Q102" s="133">
        <f>SUM(Q103:Q105)</f>
        <v>338295843.75</v>
      </c>
      <c r="R102" s="133">
        <f>SUM(R103:R105)</f>
        <v>338295843.75</v>
      </c>
      <c r="S102" s="133">
        <f t="shared" ref="S102:AC102" si="39">SUM(S103:S105)</f>
        <v>338295843.75</v>
      </c>
      <c r="T102" s="133">
        <f t="shared" si="39"/>
        <v>338295843.75</v>
      </c>
      <c r="U102" s="133">
        <f t="shared" si="39"/>
        <v>338295843.75</v>
      </c>
      <c r="V102" s="133">
        <f t="shared" si="39"/>
        <v>338295843.75</v>
      </c>
      <c r="W102" s="137">
        <f t="shared" si="39"/>
        <v>338295843.75</v>
      </c>
      <c r="X102" s="133">
        <f t="shared" si="39"/>
        <v>338295843.75</v>
      </c>
      <c r="Y102" s="133">
        <f t="shared" si="39"/>
        <v>338295843.75</v>
      </c>
      <c r="Z102" s="133">
        <f t="shared" si="39"/>
        <v>338295843.75</v>
      </c>
      <c r="AA102" s="133">
        <f t="shared" si="39"/>
        <v>338295843.75</v>
      </c>
      <c r="AB102" s="135">
        <v>0</v>
      </c>
      <c r="AC102" s="165">
        <f t="shared" si="39"/>
        <v>0</v>
      </c>
      <c r="AF102" s="426">
        <f t="shared" si="33"/>
        <v>83930.395749999996</v>
      </c>
    </row>
    <row r="103" spans="1:32" ht="15" customHeight="1" outlineLevel="1">
      <c r="A103" s="138">
        <v>2401</v>
      </c>
      <c r="B103" s="166" t="s">
        <v>604</v>
      </c>
      <c r="C103" s="133"/>
      <c r="D103" s="133"/>
      <c r="E103" s="133"/>
      <c r="F103" s="133"/>
      <c r="G103" s="102"/>
      <c r="H103" s="133"/>
      <c r="I103" s="133"/>
      <c r="J103" s="133"/>
      <c r="K103" s="133"/>
      <c r="L103" s="133"/>
      <c r="M103" s="133"/>
      <c r="N103" s="133"/>
      <c r="O103" s="134">
        <f>AU103</f>
        <v>0</v>
      </c>
      <c r="Q103" s="133"/>
      <c r="R103" s="133"/>
      <c r="S103" s="133"/>
      <c r="T103" s="133"/>
      <c r="U103" s="133"/>
      <c r="V103" s="133"/>
      <c r="W103" s="137"/>
      <c r="X103" s="133"/>
      <c r="Y103" s="133"/>
      <c r="Z103" s="133"/>
      <c r="AA103" s="133"/>
      <c r="AB103" s="135"/>
      <c r="AC103" s="161">
        <f>BI103</f>
        <v>0</v>
      </c>
      <c r="AF103" s="426">
        <f t="shared" si="33"/>
        <v>0</v>
      </c>
    </row>
    <row r="104" spans="1:32" ht="15" customHeight="1" outlineLevel="1">
      <c r="A104" s="138">
        <v>2402</v>
      </c>
      <c r="B104" s="166" t="s">
        <v>605</v>
      </c>
      <c r="C104" s="133">
        <v>161403580.91</v>
      </c>
      <c r="D104" s="133">
        <v>162388155.16</v>
      </c>
      <c r="E104" s="133">
        <v>187762948.12</v>
      </c>
      <c r="F104" s="133">
        <v>212798596.88</v>
      </c>
      <c r="G104" s="102">
        <v>230089574.34999999</v>
      </c>
      <c r="H104" s="133">
        <v>235393752.19999999</v>
      </c>
      <c r="I104" s="133">
        <v>222492192.05000001</v>
      </c>
      <c r="J104" s="133">
        <v>184258381</v>
      </c>
      <c r="K104" s="133">
        <v>174074940.19999999</v>
      </c>
      <c r="L104" s="133">
        <v>184673273.87</v>
      </c>
      <c r="M104" s="133">
        <v>401954936.92000002</v>
      </c>
      <c r="N104" s="133">
        <v>83930395.75</v>
      </c>
      <c r="O104" s="134">
        <f>AU104</f>
        <v>0</v>
      </c>
      <c r="Q104" s="133">
        <v>38295843.75</v>
      </c>
      <c r="R104" s="133">
        <v>38295843.75</v>
      </c>
      <c r="S104" s="133">
        <v>38295843.75</v>
      </c>
      <c r="T104" s="133">
        <v>38295843.75</v>
      </c>
      <c r="U104" s="133">
        <v>38295843.75</v>
      </c>
      <c r="V104" s="133">
        <v>38295843.75</v>
      </c>
      <c r="W104" s="133">
        <v>38295843.75</v>
      </c>
      <c r="X104" s="133">
        <v>38295843.75</v>
      </c>
      <c r="Y104" s="133">
        <v>38295843.75</v>
      </c>
      <c r="Z104" s="133">
        <v>38295843.75</v>
      </c>
      <c r="AA104" s="133">
        <v>38295843.75</v>
      </c>
      <c r="AB104" s="135"/>
      <c r="AC104" s="161">
        <f>BI104</f>
        <v>0</v>
      </c>
      <c r="AD104" s="89">
        <f>+AB104-N104</f>
        <v>-83930395.75</v>
      </c>
      <c r="AF104" s="426">
        <f t="shared" si="33"/>
        <v>83930.395749999996</v>
      </c>
    </row>
    <row r="105" spans="1:32" ht="15" customHeight="1" outlineLevel="1">
      <c r="A105" s="138">
        <v>2403</v>
      </c>
      <c r="B105" s="132" t="s">
        <v>23</v>
      </c>
      <c r="C105" s="133">
        <v>300000000</v>
      </c>
      <c r="D105" s="133">
        <v>300000000</v>
      </c>
      <c r="E105" s="133">
        <v>300000000</v>
      </c>
      <c r="F105" s="133">
        <v>300000000</v>
      </c>
      <c r="G105" s="102">
        <v>300000000</v>
      </c>
      <c r="H105" s="133">
        <v>300000000</v>
      </c>
      <c r="I105" s="133">
        <v>300000000</v>
      </c>
      <c r="J105" s="133">
        <v>300000000</v>
      </c>
      <c r="K105" s="133">
        <v>300000000</v>
      </c>
      <c r="L105" s="133">
        <v>300000000</v>
      </c>
      <c r="M105" s="133">
        <v>300000000</v>
      </c>
      <c r="N105" s="133"/>
      <c r="O105" s="134">
        <f>AU105</f>
        <v>0</v>
      </c>
      <c r="Q105" s="133">
        <v>300000000</v>
      </c>
      <c r="R105" s="133">
        <v>300000000</v>
      </c>
      <c r="S105" s="133">
        <v>300000000</v>
      </c>
      <c r="T105" s="133">
        <v>300000000</v>
      </c>
      <c r="U105" s="133">
        <v>300000000</v>
      </c>
      <c r="V105" s="133">
        <v>300000000</v>
      </c>
      <c r="W105" s="133">
        <v>300000000</v>
      </c>
      <c r="X105" s="133">
        <v>300000000</v>
      </c>
      <c r="Y105" s="133">
        <v>300000000</v>
      </c>
      <c r="Z105" s="133">
        <v>300000000</v>
      </c>
      <c r="AA105" s="133">
        <v>300000000</v>
      </c>
      <c r="AB105" s="135"/>
      <c r="AC105" s="161">
        <f>BI105</f>
        <v>0</v>
      </c>
      <c r="AD105" s="89">
        <f>+AD104*10</f>
        <v>-839303957.5</v>
      </c>
      <c r="AF105" s="426">
        <f t="shared" si="33"/>
        <v>0</v>
      </c>
    </row>
    <row r="106" spans="1:32">
      <c r="A106" s="149"/>
      <c r="B106" s="150" t="s">
        <v>606</v>
      </c>
      <c r="C106" s="167">
        <f>SUM(C97,C91,C75,C102)</f>
        <v>31685633185.749996</v>
      </c>
      <c r="D106" s="167">
        <f>SUM(D97,D91,D75,D102)</f>
        <v>31554782402.969997</v>
      </c>
      <c r="E106" s="167">
        <f>SUM(E97,E91,E75,E102)</f>
        <v>31641627351.719994</v>
      </c>
      <c r="F106" s="167">
        <f t="shared" ref="F106:O106" si="40">SUM(F97,F91,F75,F102)</f>
        <v>32085566647.700001</v>
      </c>
      <c r="G106" s="167">
        <f t="shared" si="40"/>
        <v>31808353958.290005</v>
      </c>
      <c r="H106" s="167">
        <f t="shared" si="40"/>
        <v>32675750496.959995</v>
      </c>
      <c r="I106" s="167">
        <f t="shared" si="40"/>
        <v>32691361088.870007</v>
      </c>
      <c r="J106" s="167">
        <f t="shared" si="40"/>
        <v>32632263892.630001</v>
      </c>
      <c r="K106" s="167">
        <v>32940093596.41</v>
      </c>
      <c r="L106" s="167">
        <v>32862158821.869995</v>
      </c>
      <c r="M106" s="167">
        <v>33984716401.690002</v>
      </c>
      <c r="N106" s="167">
        <v>57084185466.480003</v>
      </c>
      <c r="O106" s="152">
        <f t="shared" si="40"/>
        <v>0</v>
      </c>
      <c r="Q106" s="167">
        <f>SUM(Q97,Q91,Q75,Q102)</f>
        <v>28313878645.060005</v>
      </c>
      <c r="R106" s="167">
        <f>SUM(R97,R91,R75,R102)</f>
        <v>28251803825.990005</v>
      </c>
      <c r="S106" s="167">
        <f t="shared" ref="S106:AC106" si="41">SUM(S97,S91,S75,S102)</f>
        <v>28487888799.579998</v>
      </c>
      <c r="T106" s="167">
        <f t="shared" si="41"/>
        <v>31908474169.639996</v>
      </c>
      <c r="U106" s="167">
        <f t="shared" si="41"/>
        <v>32148042578.250004</v>
      </c>
      <c r="V106" s="167">
        <f t="shared" si="41"/>
        <v>32242517691.399998</v>
      </c>
      <c r="W106" s="167">
        <f t="shared" si="41"/>
        <v>32223431047.080002</v>
      </c>
      <c r="X106" s="167">
        <f t="shared" si="41"/>
        <v>32087123305.730003</v>
      </c>
      <c r="Y106" s="167">
        <f t="shared" si="41"/>
        <v>31925625743.439999</v>
      </c>
      <c r="Z106" s="167">
        <f t="shared" si="41"/>
        <v>31706950719.819996</v>
      </c>
      <c r="AA106" s="167">
        <f t="shared" si="41"/>
        <v>31672954317.290005</v>
      </c>
      <c r="AB106" s="168">
        <v>51068173064.150002</v>
      </c>
      <c r="AC106" s="169">
        <f t="shared" si="41"/>
        <v>0</v>
      </c>
      <c r="AF106" s="426">
        <f t="shared" si="33"/>
        <v>57084185.466480002</v>
      </c>
    </row>
    <row r="107" spans="1:32">
      <c r="A107" s="131"/>
      <c r="B107" s="154"/>
      <c r="C107" s="133">
        <f>50406857873.91-18891628269.07-C106+C104+C101</f>
        <v>7.7784061431884766E-6</v>
      </c>
      <c r="D107" s="133">
        <f>31554782402.97-D106</f>
        <v>0</v>
      </c>
      <c r="E107" s="133">
        <v>4.8875808715820313E-6</v>
      </c>
      <c r="F107" s="133">
        <f>51566302993.53-19693534942.71-F106+F104</f>
        <v>-1.0728836059570313E-6</v>
      </c>
      <c r="G107" s="133"/>
      <c r="H107" s="133"/>
      <c r="I107" s="133"/>
      <c r="J107" s="133"/>
      <c r="K107" s="133"/>
      <c r="L107" s="133">
        <v>0</v>
      </c>
      <c r="M107" s="133">
        <v>0</v>
      </c>
      <c r="N107" s="133"/>
      <c r="O107" s="134"/>
      <c r="Q107" s="133"/>
      <c r="R107" s="133"/>
      <c r="S107" s="133"/>
      <c r="T107" s="133"/>
      <c r="U107" s="133"/>
      <c r="V107" s="133"/>
      <c r="W107" s="133"/>
      <c r="X107" s="137"/>
      <c r="Y107" s="137"/>
      <c r="Z107" s="137"/>
      <c r="AA107" s="133"/>
      <c r="AB107" s="135">
        <v>0</v>
      </c>
      <c r="AC107" s="161"/>
      <c r="AF107" s="426">
        <f t="shared" si="33"/>
        <v>0</v>
      </c>
    </row>
    <row r="108" spans="1:32">
      <c r="A108" s="170"/>
      <c r="B108" s="171" t="s">
        <v>607</v>
      </c>
      <c r="C108" s="172">
        <f>SUM(C106,C72)</f>
        <v>80889079053.369995</v>
      </c>
      <c r="D108" s="172">
        <f>SUM(D106,D72)</f>
        <v>80805076806.300003</v>
      </c>
      <c r="E108" s="172">
        <f>SUM(E106,E72)</f>
        <v>81972481573.508179</v>
      </c>
      <c r="F108" s="172">
        <f t="shared" ref="F108:O108" si="42">SUM(F106,F72)</f>
        <v>90072039557.500015</v>
      </c>
      <c r="G108" s="172">
        <f t="shared" si="42"/>
        <v>98910787451.830002</v>
      </c>
      <c r="H108" s="172">
        <f t="shared" si="42"/>
        <v>99551763915.522995</v>
      </c>
      <c r="I108" s="172">
        <f t="shared" si="42"/>
        <v>98789121020.540009</v>
      </c>
      <c r="J108" s="172">
        <f t="shared" si="42"/>
        <v>98100118452.220001</v>
      </c>
      <c r="K108" s="172">
        <v>97086593008.040009</v>
      </c>
      <c r="L108" s="172">
        <v>96942222835.289978</v>
      </c>
      <c r="M108" s="172">
        <v>93661402973.139999</v>
      </c>
      <c r="N108" s="172">
        <v>182816017033.39432</v>
      </c>
      <c r="O108" s="173">
        <f t="shared" si="42"/>
        <v>0</v>
      </c>
      <c r="Q108" s="172">
        <f>SUM(Q106,Q72)</f>
        <v>66644733669.350006</v>
      </c>
      <c r="R108" s="172">
        <f>SUM(R106,R72)</f>
        <v>65935786571.280006</v>
      </c>
      <c r="S108" s="172">
        <f t="shared" ref="S108:AC108" si="43">SUM(S106,S72)</f>
        <v>66852775171.610001</v>
      </c>
      <c r="T108" s="172">
        <f t="shared" si="43"/>
        <v>71067722701.599991</v>
      </c>
      <c r="U108" s="172">
        <f t="shared" si="43"/>
        <v>71650050723.589996</v>
      </c>
      <c r="V108" s="172">
        <f t="shared" si="43"/>
        <v>71609533131.419998</v>
      </c>
      <c r="W108" s="172">
        <f t="shared" si="43"/>
        <v>70542918642.360001</v>
      </c>
      <c r="X108" s="174">
        <f t="shared" si="43"/>
        <v>71392156136.100006</v>
      </c>
      <c r="Y108" s="172">
        <f t="shared" si="43"/>
        <v>71872714163.990005</v>
      </c>
      <c r="Z108" s="172">
        <f t="shared" si="43"/>
        <v>78205656253.809998</v>
      </c>
      <c r="AA108" s="172">
        <f t="shared" si="43"/>
        <v>79756886077.550003</v>
      </c>
      <c r="AB108" s="175">
        <v>136952999141.76999</v>
      </c>
      <c r="AC108" s="176">
        <f t="shared" si="43"/>
        <v>0</v>
      </c>
      <c r="AE108" s="139"/>
      <c r="AF108" s="426">
        <f t="shared" si="33"/>
        <v>182816017.03339431</v>
      </c>
    </row>
    <row r="109" spans="1:32">
      <c r="A109" s="131"/>
      <c r="B109" s="154"/>
      <c r="C109" s="133"/>
      <c r="D109" s="133">
        <f>80805076806.3-D108</f>
        <v>0</v>
      </c>
      <c r="E109" s="133">
        <v>1.8157958984375E-3</v>
      </c>
      <c r="F109" s="133">
        <f>90072039557.5-F108</f>
        <v>0</v>
      </c>
      <c r="G109" s="133">
        <f>98910787451.83-G108</f>
        <v>0</v>
      </c>
      <c r="H109" s="133">
        <v>2.99072265625E-3</v>
      </c>
      <c r="I109" s="133"/>
      <c r="J109" s="133">
        <v>0</v>
      </c>
      <c r="K109" s="133">
        <v>0</v>
      </c>
      <c r="L109" s="133">
        <v>0</v>
      </c>
      <c r="M109" s="133">
        <v>0</v>
      </c>
      <c r="N109" s="133">
        <v>4.302978515625E-3</v>
      </c>
      <c r="O109" s="134"/>
      <c r="Q109" s="133"/>
      <c r="R109" s="133"/>
      <c r="S109" s="133"/>
      <c r="T109" s="133"/>
      <c r="U109" s="133"/>
      <c r="V109" s="133"/>
      <c r="W109" s="133">
        <f>+W108-70542918642.36</f>
        <v>0</v>
      </c>
      <c r="X109" s="133">
        <f>+X108-71392156136.1</f>
        <v>0</v>
      </c>
      <c r="Y109" s="133"/>
      <c r="Z109" s="133">
        <f>+Z108-78205656253.81</f>
        <v>0</v>
      </c>
      <c r="AA109" s="133">
        <f>+AA108-79756886077.55</f>
        <v>0</v>
      </c>
      <c r="AB109" s="135">
        <v>0</v>
      </c>
      <c r="AC109" s="161"/>
      <c r="AF109" s="426">
        <f t="shared" si="33"/>
        <v>4.3029785156249996E-6</v>
      </c>
    </row>
    <row r="110" spans="1:32">
      <c r="A110" s="149"/>
      <c r="B110" s="121" t="s">
        <v>608</v>
      </c>
      <c r="C110" s="155"/>
      <c r="D110" s="155"/>
      <c r="E110" s="155"/>
      <c r="F110" s="155"/>
      <c r="G110" s="102"/>
      <c r="H110" s="155"/>
      <c r="I110" s="155"/>
      <c r="J110" s="155"/>
      <c r="K110" s="155"/>
      <c r="L110" s="155"/>
      <c r="M110" s="155"/>
      <c r="N110" s="155"/>
      <c r="O110" s="157"/>
      <c r="Q110" s="155"/>
      <c r="R110" s="155"/>
      <c r="S110" s="155"/>
      <c r="T110" s="155"/>
      <c r="U110" s="155"/>
      <c r="V110" s="155"/>
      <c r="W110" s="156"/>
      <c r="X110" s="156"/>
      <c r="Y110" s="155"/>
      <c r="Z110" s="155"/>
      <c r="AA110" s="155"/>
      <c r="AB110" s="158"/>
      <c r="AC110" s="177"/>
      <c r="AF110" s="426">
        <f t="shared" si="33"/>
        <v>0</v>
      </c>
    </row>
    <row r="111" spans="1:32">
      <c r="A111" s="149"/>
      <c r="B111" s="121" t="s">
        <v>609</v>
      </c>
      <c r="C111" s="155"/>
      <c r="D111" s="155"/>
      <c r="E111" s="155"/>
      <c r="F111" s="155"/>
      <c r="G111" s="102"/>
      <c r="H111" s="155"/>
      <c r="I111" s="155"/>
      <c r="J111" s="155"/>
      <c r="K111" s="155"/>
      <c r="L111" s="155"/>
      <c r="M111" s="155"/>
      <c r="N111" s="155"/>
      <c r="O111" s="157"/>
      <c r="Q111" s="155"/>
      <c r="R111" s="155"/>
      <c r="S111" s="155"/>
      <c r="T111" s="155"/>
      <c r="U111" s="155"/>
      <c r="V111" s="155"/>
      <c r="W111" s="156"/>
      <c r="X111" s="156"/>
      <c r="Y111" s="155"/>
      <c r="Z111" s="155"/>
      <c r="AA111" s="155"/>
      <c r="AB111" s="158"/>
      <c r="AC111" s="177"/>
      <c r="AF111" s="426">
        <f t="shared" si="33"/>
        <v>0</v>
      </c>
    </row>
    <row r="112" spans="1:32">
      <c r="A112" s="131"/>
      <c r="B112" s="127" t="s">
        <v>610</v>
      </c>
      <c r="C112" s="133">
        <f>SUM(C113:C119)</f>
        <v>1018243312.25</v>
      </c>
      <c r="D112" s="133">
        <f>SUM(D113:D119)</f>
        <v>901490396.51999986</v>
      </c>
      <c r="E112" s="133">
        <f>SUM(E113:E119)</f>
        <v>1069994856.5500001</v>
      </c>
      <c r="F112" s="133">
        <f t="shared" ref="F112:O112" si="44">SUM(F113:F119)</f>
        <v>2080147542.6799998</v>
      </c>
      <c r="G112" s="137">
        <f t="shared" si="44"/>
        <v>2381985385.3100004</v>
      </c>
      <c r="H112" s="133">
        <f t="shared" si="44"/>
        <v>2258727826.96</v>
      </c>
      <c r="I112" s="133">
        <f t="shared" si="44"/>
        <v>1958493302.6499999</v>
      </c>
      <c r="J112" s="133">
        <f t="shared" si="44"/>
        <v>2004347722.77</v>
      </c>
      <c r="K112" s="133">
        <v>1424491902.04</v>
      </c>
      <c r="L112" s="133">
        <v>1394091928.8200002</v>
      </c>
      <c r="M112" s="133">
        <v>4712473476.6999989</v>
      </c>
      <c r="N112" s="133">
        <v>3061173775.8300004</v>
      </c>
      <c r="O112" s="134">
        <f t="shared" si="44"/>
        <v>0</v>
      </c>
      <c r="Q112" s="133">
        <f>SUM(Q113:Q119)</f>
        <v>715563503.45000005</v>
      </c>
      <c r="R112" s="133">
        <f>SUM(R113:R119)</f>
        <v>494367594.56</v>
      </c>
      <c r="S112" s="133">
        <f t="shared" ref="S112:AC112" si="45">SUM(S113:S119)</f>
        <v>481380745.90000004</v>
      </c>
      <c r="T112" s="133">
        <f t="shared" si="45"/>
        <v>4999194263.9499998</v>
      </c>
      <c r="U112" s="133">
        <f t="shared" si="45"/>
        <v>4856100511.3699999</v>
      </c>
      <c r="V112" s="133">
        <f t="shared" si="45"/>
        <v>4737645670.3599997</v>
      </c>
      <c r="W112" s="137">
        <f t="shared" si="45"/>
        <v>4715214893.79</v>
      </c>
      <c r="X112" s="133">
        <f t="shared" si="45"/>
        <v>4756571188.2600002</v>
      </c>
      <c r="Y112" s="133">
        <f t="shared" si="45"/>
        <v>4656469273.5599995</v>
      </c>
      <c r="Z112" s="133">
        <f t="shared" si="45"/>
        <v>4627489934.75</v>
      </c>
      <c r="AA112" s="133">
        <f t="shared" si="45"/>
        <v>4637512292.8800001</v>
      </c>
      <c r="AB112" s="135">
        <v>2714476508.5499997</v>
      </c>
      <c r="AC112" s="161">
        <f t="shared" si="45"/>
        <v>0</v>
      </c>
      <c r="AF112" s="426">
        <f t="shared" si="33"/>
        <v>3061173.7758300002</v>
      </c>
    </row>
    <row r="113" spans="1:32" ht="15" customHeight="1" outlineLevel="1">
      <c r="A113" s="159" t="s">
        <v>611</v>
      </c>
      <c r="B113" s="132" t="s">
        <v>612</v>
      </c>
      <c r="C113" s="133">
        <v>1740820</v>
      </c>
      <c r="D113" s="133">
        <v>6979240</v>
      </c>
      <c r="E113" s="133">
        <v>1385530</v>
      </c>
      <c r="F113" s="133">
        <v>736202290</v>
      </c>
      <c r="G113" s="102">
        <v>269138639.09000003</v>
      </c>
      <c r="H113" s="133">
        <v>241749127.26999998</v>
      </c>
      <c r="I113" s="133">
        <v>71151709.079999983</v>
      </c>
      <c r="J113" s="133">
        <v>3139989.9899999946</v>
      </c>
      <c r="K113" s="133">
        <v>68289957.260000005</v>
      </c>
      <c r="L113" s="133">
        <v>7542880.7199999997</v>
      </c>
      <c r="M113" s="133">
        <v>6563745.9900000002</v>
      </c>
      <c r="N113" s="133">
        <v>57391239.920000002</v>
      </c>
      <c r="O113" s="134">
        <f t="shared" ref="O113:O119" si="46">AU113</f>
        <v>0</v>
      </c>
      <c r="Q113" s="133"/>
      <c r="R113" s="133"/>
      <c r="S113" s="133"/>
      <c r="T113" s="133">
        <f>127584545.45+441778745</f>
        <v>569363290.45000005</v>
      </c>
      <c r="U113" s="133">
        <f>62130000+116060540</f>
        <v>178190540</v>
      </c>
      <c r="V113" s="133">
        <f>80834637</f>
        <v>80834637</v>
      </c>
      <c r="W113" s="133">
        <f>17543161.76</f>
        <v>17543161.760000002</v>
      </c>
      <c r="X113" s="133">
        <f>14707593.32-1544000</f>
        <v>13163593.32</v>
      </c>
      <c r="Y113" s="133">
        <f>17494524.72</f>
        <v>17494524.719999999</v>
      </c>
      <c r="Z113" s="133">
        <f>4038416994.82-Z114</f>
        <v>5006483.7800002098</v>
      </c>
      <c r="AA113" s="133">
        <v>2432168</v>
      </c>
      <c r="AB113" s="135">
        <v>363012188.01999998</v>
      </c>
      <c r="AC113" s="161">
        <f t="shared" ref="AC113:AC119" si="47">BI113</f>
        <v>0</v>
      </c>
      <c r="AD113" s="89">
        <f>+N112+N139+N147+N134+N138</f>
        <v>5473480611.3800001</v>
      </c>
      <c r="AF113" s="426">
        <f t="shared" si="33"/>
        <v>57391.23992</v>
      </c>
    </row>
    <row r="114" spans="1:32" ht="15" customHeight="1" outlineLevel="1">
      <c r="A114" s="159" t="s">
        <v>613</v>
      </c>
      <c r="B114" s="132" t="s">
        <v>614</v>
      </c>
      <c r="C114" s="133">
        <v>251660739.08000001</v>
      </c>
      <c r="D114" s="133">
        <v>261386035.18000001</v>
      </c>
      <c r="E114" s="133">
        <v>412798795.30000001</v>
      </c>
      <c r="F114" s="133">
        <v>615095190.54999995</v>
      </c>
      <c r="G114" s="102">
        <v>873503415.26999998</v>
      </c>
      <c r="H114" s="133">
        <v>612903465.12</v>
      </c>
      <c r="I114" s="133">
        <v>619521670.20000005</v>
      </c>
      <c r="J114" s="133">
        <v>593770146.25999999</v>
      </c>
      <c r="K114" s="133">
        <v>581940241.52999997</v>
      </c>
      <c r="L114" s="133">
        <v>583450319.82000005</v>
      </c>
      <c r="M114" s="133">
        <v>3882583653.54</v>
      </c>
      <c r="N114" s="133">
        <v>1582793461.4100001</v>
      </c>
      <c r="O114" s="134">
        <f t="shared" si="46"/>
        <v>0</v>
      </c>
      <c r="Q114" s="133">
        <v>230128.05</v>
      </c>
      <c r="R114" s="133">
        <v>230128.05</v>
      </c>
      <c r="S114" s="133">
        <v>233140</v>
      </c>
      <c r="T114" s="133">
        <f>233140+3408483600</f>
        <v>3408716740</v>
      </c>
      <c r="U114" s="133">
        <f>3693528735.25-62130000</f>
        <v>3631398735.25</v>
      </c>
      <c r="V114" s="133">
        <f>3619666967.72-80834637</f>
        <v>3538832330.7199998</v>
      </c>
      <c r="W114" s="133">
        <f>3555421020.28-17543161.76</f>
        <v>3537877858.52</v>
      </c>
      <c r="X114" s="133">
        <f>3552007536.32</f>
        <v>3552007536.3200002</v>
      </c>
      <c r="Y114" s="133">
        <v>4033277059.4699998</v>
      </c>
      <c r="Z114" s="133">
        <f>4033410511.04</f>
        <v>4033410511.04</v>
      </c>
      <c r="AA114" s="133">
        <v>4033138331.4299998</v>
      </c>
      <c r="AB114" s="135">
        <v>733601734.62</v>
      </c>
      <c r="AC114" s="161">
        <f t="shared" si="47"/>
        <v>0</v>
      </c>
      <c r="AD114" s="89">
        <f>+L114-AB114</f>
        <v>-150151414.79999995</v>
      </c>
      <c r="AF114" s="426">
        <f t="shared" si="33"/>
        <v>1582793.46141</v>
      </c>
    </row>
    <row r="115" spans="1:32" ht="15" customHeight="1" outlineLevel="1">
      <c r="A115" s="131">
        <v>3104</v>
      </c>
      <c r="B115" s="132" t="s">
        <v>615</v>
      </c>
      <c r="C115" s="133">
        <v>22542035.079999998</v>
      </c>
      <c r="D115" s="133">
        <v>40221064.880000003</v>
      </c>
      <c r="E115" s="133">
        <v>18249317.169999998</v>
      </c>
      <c r="F115" s="133">
        <v>48836323.00999999</v>
      </c>
      <c r="G115" s="102">
        <v>45939535.610000007</v>
      </c>
      <c r="H115" s="133">
        <v>36743464.039999999</v>
      </c>
      <c r="I115" s="133">
        <v>53225624.200000003</v>
      </c>
      <c r="J115" s="133">
        <v>177801239.11000001</v>
      </c>
      <c r="K115" s="133">
        <v>38077117.449999988</v>
      </c>
      <c r="L115" s="133">
        <v>32757075.539999999</v>
      </c>
      <c r="M115" s="133">
        <v>26434969.979999997</v>
      </c>
      <c r="N115" s="133">
        <v>204382169.13000003</v>
      </c>
      <c r="O115" s="134">
        <f t="shared" si="46"/>
        <v>0</v>
      </c>
      <c r="Q115" s="133">
        <f>77764760.03-Q120+11753818.4-Q114+3157614.4</f>
        <v>85516064.780000016</v>
      </c>
      <c r="R115" s="133">
        <f>18587496.36-R120+1249579.97-R114+1854476</f>
        <v>18340024.280000001</v>
      </c>
      <c r="S115" s="133">
        <f>14211800-S120+1462010-S114+1854400</f>
        <v>17295070</v>
      </c>
      <c r="T115" s="133">
        <f>1546000-T120+3536618065.87-T114+441778745-T113+1854420.4+T123</f>
        <v>3267200.819999814</v>
      </c>
      <c r="U115" s="133">
        <f>39496398-U121+7604888</f>
        <v>33351286</v>
      </c>
      <c r="V115" s="133">
        <f>2612575-V121+450000+26887779.8</f>
        <v>29500354.800000001</v>
      </c>
      <c r="W115" s="133">
        <f>4689951.11-W121-W124+20859452+450000</f>
        <v>22276292</v>
      </c>
      <c r="X115" s="133">
        <f>503038234.8-X121-X122-X124+1544000+450000+15071520.72</f>
        <v>16784320.720000014</v>
      </c>
      <c r="Y115" s="133">
        <f>355000-Y121-Y122-Y124+4425962.6+450000</f>
        <v>4780962.5999999996</v>
      </c>
      <c r="Z115" s="133">
        <f>9730500-Z121-Z122-Z124+2825465.4+450000</f>
        <v>12555965.4</v>
      </c>
      <c r="AA115" s="133">
        <f>3654800+4400332.9</f>
        <v>8055132.9000000004</v>
      </c>
      <c r="AB115" s="135">
        <v>326069159.17999995</v>
      </c>
      <c r="AC115" s="161">
        <f t="shared" si="47"/>
        <v>0</v>
      </c>
      <c r="AF115" s="426">
        <f t="shared" si="33"/>
        <v>204382.16913000002</v>
      </c>
    </row>
    <row r="116" spans="1:32" ht="15" customHeight="1" outlineLevel="1">
      <c r="A116" s="131">
        <v>3105</v>
      </c>
      <c r="B116" s="132" t="s">
        <v>616</v>
      </c>
      <c r="C116" s="133">
        <v>991468.82</v>
      </c>
      <c r="D116" s="133">
        <v>1514257.13</v>
      </c>
      <c r="E116" s="133">
        <v>840744.13</v>
      </c>
      <c r="F116" s="133">
        <v>384849.37</v>
      </c>
      <c r="G116" s="102">
        <v>241661.94</v>
      </c>
      <c r="H116" s="133">
        <v>241661.94</v>
      </c>
      <c r="I116" s="133">
        <v>1994061.94</v>
      </c>
      <c r="J116" s="133">
        <v>6469061.9400000004</v>
      </c>
      <c r="K116" s="133">
        <v>11558561.939999999</v>
      </c>
      <c r="L116" s="133">
        <v>18525211.940000001</v>
      </c>
      <c r="M116" s="133">
        <v>19994211.940000001</v>
      </c>
      <c r="N116" s="133">
        <v>60926285.920000002</v>
      </c>
      <c r="O116" s="134">
        <f t="shared" si="46"/>
        <v>0</v>
      </c>
      <c r="Q116" s="133">
        <v>130000</v>
      </c>
      <c r="R116" s="133">
        <v>150000</v>
      </c>
      <c r="S116" s="133">
        <v>230000</v>
      </c>
      <c r="T116" s="133">
        <v>100000</v>
      </c>
      <c r="U116" s="133">
        <v>100000</v>
      </c>
      <c r="V116" s="133">
        <v>106100</v>
      </c>
      <c r="W116" s="137">
        <v>106100</v>
      </c>
      <c r="X116" s="133">
        <v>206100</v>
      </c>
      <c r="Y116" s="133">
        <f>606100</f>
        <v>606100</v>
      </c>
      <c r="Z116" s="133">
        <f>725917.71</f>
        <v>725917.71</v>
      </c>
      <c r="AA116" s="133">
        <v>768381.43</v>
      </c>
      <c r="AB116" s="135">
        <v>43720877.850000001</v>
      </c>
      <c r="AC116" s="161">
        <f t="shared" si="47"/>
        <v>0</v>
      </c>
      <c r="AF116" s="426">
        <f t="shared" si="33"/>
        <v>60926.285920000002</v>
      </c>
    </row>
    <row r="117" spans="1:32" ht="15" customHeight="1" outlineLevel="1">
      <c r="A117" s="159">
        <v>3106</v>
      </c>
      <c r="B117" s="132" t="s">
        <v>25</v>
      </c>
      <c r="C117" s="133">
        <v>516504532.32999998</v>
      </c>
      <c r="D117" s="133">
        <v>367266391.62</v>
      </c>
      <c r="E117" s="133">
        <v>381634737.31999999</v>
      </c>
      <c r="F117" s="133">
        <v>387598567.06999999</v>
      </c>
      <c r="G117" s="102">
        <v>376168434.18000001</v>
      </c>
      <c r="H117" s="133">
        <v>517244752.08999997</v>
      </c>
      <c r="I117" s="133">
        <v>530058803.31999999</v>
      </c>
      <c r="J117" s="133">
        <v>514790764.08999997</v>
      </c>
      <c r="K117" s="133">
        <v>477887984.43000001</v>
      </c>
      <c r="L117" s="133">
        <v>477767041.72000003</v>
      </c>
      <c r="M117" s="133">
        <v>473998590.44</v>
      </c>
      <c r="N117" s="133">
        <v>985822170.22000003</v>
      </c>
      <c r="O117" s="134">
        <f t="shared" si="46"/>
        <v>0</v>
      </c>
      <c r="Q117" s="133">
        <v>454616418.35000002</v>
      </c>
      <c r="R117" s="133">
        <v>300650787.92000002</v>
      </c>
      <c r="S117" s="133">
        <v>288775784.47000003</v>
      </c>
      <c r="T117" s="133">
        <v>307954798.61000001</v>
      </c>
      <c r="U117" s="133">
        <v>334830736.49000001</v>
      </c>
      <c r="V117" s="133">
        <f>410346509.21</f>
        <v>410346509.20999998</v>
      </c>
      <c r="W117" s="137">
        <v>459476201.68000001</v>
      </c>
      <c r="X117" s="133">
        <v>496606791.79000002</v>
      </c>
      <c r="Y117" s="133">
        <v>426501386.94</v>
      </c>
      <c r="Z117" s="133">
        <f>402023960.03</f>
        <v>402023960.02999997</v>
      </c>
      <c r="AA117" s="133">
        <v>419365033.69</v>
      </c>
      <c r="AB117" s="135">
        <v>956678484.25</v>
      </c>
      <c r="AC117" s="161">
        <f t="shared" si="47"/>
        <v>0</v>
      </c>
      <c r="AF117" s="426">
        <f t="shared" si="33"/>
        <v>985822.17021999997</v>
      </c>
    </row>
    <row r="118" spans="1:32" ht="15" customHeight="1" outlineLevel="1">
      <c r="A118" s="138">
        <v>3107</v>
      </c>
      <c r="B118" s="132" t="s">
        <v>617</v>
      </c>
      <c r="C118" s="133">
        <v>51104536.07</v>
      </c>
      <c r="D118" s="133">
        <v>50431131.560000002</v>
      </c>
      <c r="E118" s="133">
        <v>81467639.519999996</v>
      </c>
      <c r="F118" s="133">
        <v>118510960.29000001</v>
      </c>
      <c r="G118" s="102">
        <v>153440300.71000001</v>
      </c>
      <c r="H118" s="133">
        <v>186592029.19</v>
      </c>
      <c r="I118" s="133">
        <v>19554926.600000001</v>
      </c>
      <c r="J118" s="133">
        <v>45624011.07</v>
      </c>
      <c r="K118" s="133">
        <v>73488013.599999994</v>
      </c>
      <c r="L118" s="133">
        <v>100853235.25</v>
      </c>
      <c r="M118" s="133">
        <v>129718700.98</v>
      </c>
      <c r="N118" s="133"/>
      <c r="O118" s="134">
        <f t="shared" si="46"/>
        <v>0</v>
      </c>
      <c r="Q118" s="133"/>
      <c r="R118" s="133"/>
      <c r="S118" s="133"/>
      <c r="T118" s="133"/>
      <c r="U118" s="133"/>
      <c r="V118" s="133"/>
      <c r="W118" s="137"/>
      <c r="X118" s="133"/>
      <c r="Y118" s="133"/>
      <c r="Z118" s="133"/>
      <c r="AA118" s="133"/>
      <c r="AB118" s="135"/>
      <c r="AC118" s="161">
        <f t="shared" si="47"/>
        <v>0</v>
      </c>
      <c r="AF118" s="426">
        <f t="shared" si="33"/>
        <v>0</v>
      </c>
    </row>
    <row r="119" spans="1:32" ht="15" customHeight="1" outlineLevel="1">
      <c r="A119" s="138">
        <v>3108</v>
      </c>
      <c r="B119" s="132" t="s">
        <v>29</v>
      </c>
      <c r="C119" s="133">
        <v>173699180.87</v>
      </c>
      <c r="D119" s="133">
        <v>173692276.15000001</v>
      </c>
      <c r="E119" s="133">
        <v>173618093.11000001</v>
      </c>
      <c r="F119" s="133">
        <v>173519362.38999999</v>
      </c>
      <c r="G119" s="102">
        <v>663553398.50999999</v>
      </c>
      <c r="H119" s="133">
        <v>663253327.30999994</v>
      </c>
      <c r="I119" s="133">
        <v>662986507.30999994</v>
      </c>
      <c r="J119" s="133">
        <v>662752510.30999994</v>
      </c>
      <c r="K119" s="133">
        <v>173250025.83000001</v>
      </c>
      <c r="L119" s="133">
        <v>173196163.83000001</v>
      </c>
      <c r="M119" s="133">
        <v>173179603.83000001</v>
      </c>
      <c r="N119" s="133">
        <v>169858449.22999999</v>
      </c>
      <c r="O119" s="134">
        <f t="shared" si="46"/>
        <v>0</v>
      </c>
      <c r="Q119" s="133">
        <v>175070892.27000001</v>
      </c>
      <c r="R119" s="178">
        <v>174996654.31</v>
      </c>
      <c r="S119" s="133">
        <v>174846751.43000001</v>
      </c>
      <c r="T119" s="133">
        <f>1149514684.07-T123</f>
        <v>709792234.06999993</v>
      </c>
      <c r="U119" s="133">
        <f>978474613.63-U123</f>
        <v>678229213.63</v>
      </c>
      <c r="V119" s="133">
        <f>978271138.63-V123</f>
        <v>678025738.63</v>
      </c>
      <c r="W119" s="133">
        <f>978180679.83-W123</f>
        <v>677935279.83000004</v>
      </c>
      <c r="X119" s="133">
        <f>978048246.11-X123</f>
        <v>677802846.11000001</v>
      </c>
      <c r="Y119" s="133">
        <v>173809239.83000001</v>
      </c>
      <c r="Z119" s="133">
        <v>173767096.78999999</v>
      </c>
      <c r="AA119" s="133">
        <v>173753245.43000001</v>
      </c>
      <c r="AB119" s="135">
        <v>291394064.63</v>
      </c>
      <c r="AC119" s="161">
        <f t="shared" si="47"/>
        <v>0</v>
      </c>
      <c r="AF119" s="426">
        <f t="shared" si="33"/>
        <v>169858.44923</v>
      </c>
    </row>
    <row r="120" spans="1:32">
      <c r="A120" s="138"/>
      <c r="B120" s="127" t="s">
        <v>618</v>
      </c>
      <c r="C120" s="133">
        <f>SUM(C121:C125)</f>
        <v>15450</v>
      </c>
      <c r="D120" s="133">
        <f>SUM(D121:D125)</f>
        <v>0</v>
      </c>
      <c r="E120" s="133">
        <f>SUM(E121:E125)</f>
        <v>65100000</v>
      </c>
      <c r="F120" s="133">
        <f t="shared" ref="F120:O120" si="48">SUM(F121:F125)</f>
        <v>86430000</v>
      </c>
      <c r="G120" s="137">
        <f t="shared" si="48"/>
        <v>511156689.44</v>
      </c>
      <c r="H120" s="133">
        <f t="shared" si="48"/>
        <v>525363720</v>
      </c>
      <c r="I120" s="133">
        <f t="shared" si="48"/>
        <v>768806110</v>
      </c>
      <c r="J120" s="133">
        <f t="shared" si="48"/>
        <v>626056028.04999995</v>
      </c>
      <c r="K120" s="133">
        <v>34965</v>
      </c>
      <c r="L120" s="133">
        <v>0</v>
      </c>
      <c r="M120" s="133">
        <v>5273374</v>
      </c>
      <c r="N120" s="133">
        <v>0</v>
      </c>
      <c r="O120" s="134">
        <f t="shared" si="48"/>
        <v>0</v>
      </c>
      <c r="Q120" s="133">
        <f>SUM(Q121:Q125)</f>
        <v>6930000</v>
      </c>
      <c r="R120" s="133">
        <f>SUM(R121:R125)</f>
        <v>3121400</v>
      </c>
      <c r="S120" s="133">
        <f t="shared" ref="S120:AC120" si="49">SUM(S121:S125)</f>
        <v>0</v>
      </c>
      <c r="T120" s="133">
        <f t="shared" si="49"/>
        <v>440172450</v>
      </c>
      <c r="U120" s="133">
        <f t="shared" si="49"/>
        <v>313995400</v>
      </c>
      <c r="V120" s="133">
        <f t="shared" si="49"/>
        <v>300695400</v>
      </c>
      <c r="W120" s="137">
        <f t="shared" si="49"/>
        <v>303968511.11000001</v>
      </c>
      <c r="X120" s="133">
        <f t="shared" si="49"/>
        <v>803564834.79999995</v>
      </c>
      <c r="Y120" s="133">
        <f t="shared" si="49"/>
        <v>450000</v>
      </c>
      <c r="Z120" s="133">
        <f t="shared" si="49"/>
        <v>450000</v>
      </c>
      <c r="AA120" s="133">
        <f t="shared" si="49"/>
        <v>450000</v>
      </c>
      <c r="AB120" s="135">
        <v>0</v>
      </c>
      <c r="AC120" s="161">
        <f t="shared" si="49"/>
        <v>0</v>
      </c>
      <c r="AF120" s="426">
        <f t="shared" si="33"/>
        <v>0</v>
      </c>
    </row>
    <row r="121" spans="1:32" ht="15" customHeight="1" outlineLevel="1">
      <c r="A121" s="159">
        <v>3103</v>
      </c>
      <c r="B121" s="132" t="s">
        <v>24</v>
      </c>
      <c r="C121" s="133">
        <v>15450</v>
      </c>
      <c r="D121" s="133">
        <v>0</v>
      </c>
      <c r="E121" s="133">
        <v>65100000</v>
      </c>
      <c r="F121" s="133">
        <v>86430000</v>
      </c>
      <c r="G121" s="102">
        <v>2168525</v>
      </c>
      <c r="H121" s="133">
        <v>17240000</v>
      </c>
      <c r="I121" s="133">
        <v>260682390</v>
      </c>
      <c r="J121" s="133">
        <v>117932308.05</v>
      </c>
      <c r="K121" s="133">
        <v>34965</v>
      </c>
      <c r="L121" s="133"/>
      <c r="M121" s="133">
        <v>5273374</v>
      </c>
      <c r="N121" s="133"/>
      <c r="O121" s="134">
        <f>AU121</f>
        <v>0</v>
      </c>
      <c r="Q121" s="133">
        <f>3300000+3080000+550000</f>
        <v>6930000</v>
      </c>
      <c r="R121" s="133">
        <f>298200+2823200</f>
        <v>3121400</v>
      </c>
      <c r="S121" s="133"/>
      <c r="T121" s="133">
        <v>450000</v>
      </c>
      <c r="U121" s="133">
        <f>13300000+450000</f>
        <v>13750000</v>
      </c>
      <c r="V121" s="133">
        <v>450000</v>
      </c>
      <c r="W121" s="137">
        <v>450000</v>
      </c>
      <c r="X121" s="133">
        <f>45465+1544000+450000</f>
        <v>2039465</v>
      </c>
      <c r="Y121" s="133">
        <f>450000+1000000+109060-109060-1000000</f>
        <v>450000</v>
      </c>
      <c r="Z121" s="133">
        <f>450000</f>
        <v>450000</v>
      </c>
      <c r="AA121" s="133">
        <v>450000</v>
      </c>
      <c r="AB121" s="135"/>
      <c r="AC121" s="161">
        <f>BI121</f>
        <v>0</v>
      </c>
      <c r="AF121" s="426">
        <f t="shared" si="33"/>
        <v>0</v>
      </c>
    </row>
    <row r="122" spans="1:32" ht="15" customHeight="1" outlineLevel="1">
      <c r="A122" s="159">
        <v>3103</v>
      </c>
      <c r="B122" s="132" t="s">
        <v>619</v>
      </c>
      <c r="C122" s="133"/>
      <c r="D122" s="133"/>
      <c r="E122" s="133"/>
      <c r="F122" s="133"/>
      <c r="G122" s="102"/>
      <c r="H122" s="133"/>
      <c r="I122" s="133"/>
      <c r="J122" s="133"/>
      <c r="K122" s="133"/>
      <c r="L122" s="133"/>
      <c r="M122" s="133"/>
      <c r="N122" s="133"/>
      <c r="O122" s="134">
        <f>AU122</f>
        <v>0</v>
      </c>
      <c r="Q122" s="133"/>
      <c r="R122" s="133"/>
      <c r="S122" s="133"/>
      <c r="T122" s="133"/>
      <c r="U122" s="133"/>
      <c r="V122" s="133"/>
      <c r="W122" s="137"/>
      <c r="X122" s="133">
        <f>310000*1616.98</f>
        <v>501263800</v>
      </c>
      <c r="Y122" s="133"/>
      <c r="Z122" s="133"/>
      <c r="AA122" s="133"/>
      <c r="AB122" s="135"/>
      <c r="AC122" s="161">
        <f>BI122</f>
        <v>0</v>
      </c>
      <c r="AF122" s="426">
        <f t="shared" si="33"/>
        <v>0</v>
      </c>
    </row>
    <row r="123" spans="1:32" ht="15" customHeight="1" outlineLevel="1">
      <c r="A123" s="159">
        <v>3103</v>
      </c>
      <c r="B123" s="132" t="s">
        <v>620</v>
      </c>
      <c r="C123" s="133"/>
      <c r="D123" s="133"/>
      <c r="E123" s="133"/>
      <c r="F123" s="133"/>
      <c r="G123" s="102">
        <v>508123720</v>
      </c>
      <c r="H123" s="133">
        <v>508123720</v>
      </c>
      <c r="I123" s="133">
        <v>508123720</v>
      </c>
      <c r="J123" s="133">
        <v>508123720</v>
      </c>
      <c r="K123" s="133"/>
      <c r="L123" s="133"/>
      <c r="M123" s="133"/>
      <c r="N123" s="133"/>
      <c r="O123" s="134">
        <f>AU123</f>
        <v>0</v>
      </c>
      <c r="Q123" s="133"/>
      <c r="R123" s="133"/>
      <c r="S123" s="133"/>
      <c r="T123" s="133">
        <f>139477050+49368262.5+250877137.5</f>
        <v>439722450</v>
      </c>
      <c r="U123" s="133">
        <f>49368262.5+250877137.5</f>
        <v>300245400</v>
      </c>
      <c r="V123" s="133">
        <f>49368262.5+250877137.5</f>
        <v>300245400</v>
      </c>
      <c r="W123" s="133">
        <f>49368262.5+250877137.5</f>
        <v>300245400</v>
      </c>
      <c r="X123" s="133">
        <f>49368262.5+250877137.5</f>
        <v>300245400</v>
      </c>
      <c r="Y123" s="133"/>
      <c r="Z123" s="133"/>
      <c r="AA123" s="133"/>
      <c r="AB123" s="135"/>
      <c r="AC123" s="161">
        <f>BI123</f>
        <v>0</v>
      </c>
      <c r="AF123" s="426">
        <f t="shared" si="33"/>
        <v>0</v>
      </c>
    </row>
    <row r="124" spans="1:32" ht="15" customHeight="1" outlineLevel="1">
      <c r="A124" s="159">
        <v>3103</v>
      </c>
      <c r="B124" s="132" t="s">
        <v>621</v>
      </c>
      <c r="C124" s="133"/>
      <c r="D124" s="133"/>
      <c r="E124" s="133"/>
      <c r="F124" s="133"/>
      <c r="G124" s="102">
        <v>864444.44</v>
      </c>
      <c r="H124" s="133"/>
      <c r="I124" s="133"/>
      <c r="J124" s="133"/>
      <c r="K124" s="133"/>
      <c r="L124" s="133"/>
      <c r="M124" s="133"/>
      <c r="N124" s="133"/>
      <c r="O124" s="134">
        <f>AU124</f>
        <v>0</v>
      </c>
      <c r="Q124" s="133"/>
      <c r="R124" s="133"/>
      <c r="S124" s="133"/>
      <c r="T124" s="133"/>
      <c r="U124" s="133"/>
      <c r="V124" s="133"/>
      <c r="W124" s="133">
        <f>3273111.11</f>
        <v>3273111.11</v>
      </c>
      <c r="X124" s="133">
        <f>10*1616.98</f>
        <v>16169.8</v>
      </c>
      <c r="Y124" s="133"/>
      <c r="Z124" s="133"/>
      <c r="AA124" s="133"/>
      <c r="AB124" s="135"/>
      <c r="AC124" s="161">
        <f>BI124</f>
        <v>0</v>
      </c>
      <c r="AF124" s="426">
        <f t="shared" si="33"/>
        <v>0</v>
      </c>
    </row>
    <row r="125" spans="1:32" ht="15" customHeight="1" outlineLevel="1">
      <c r="A125" s="159">
        <v>3103</v>
      </c>
      <c r="B125" s="132" t="s">
        <v>622</v>
      </c>
      <c r="C125" s="133"/>
      <c r="D125" s="133"/>
      <c r="E125" s="133"/>
      <c r="F125" s="133"/>
      <c r="G125" s="102"/>
      <c r="H125" s="133"/>
      <c r="I125" s="133"/>
      <c r="J125" s="133"/>
      <c r="K125" s="133"/>
      <c r="L125" s="133"/>
      <c r="M125" s="133"/>
      <c r="N125" s="133"/>
      <c r="O125" s="134">
        <f>AU125</f>
        <v>0</v>
      </c>
      <c r="Q125" s="133"/>
      <c r="R125" s="133"/>
      <c r="S125" s="133"/>
      <c r="T125" s="133"/>
      <c r="U125" s="133"/>
      <c r="V125" s="133"/>
      <c r="W125" s="137"/>
      <c r="X125" s="137"/>
      <c r="Y125" s="133"/>
      <c r="Z125" s="133"/>
      <c r="AA125" s="133"/>
      <c r="AB125" s="135"/>
      <c r="AC125" s="161">
        <f>BI125</f>
        <v>0</v>
      </c>
      <c r="AF125" s="426">
        <f t="shared" si="33"/>
        <v>0</v>
      </c>
    </row>
    <row r="126" spans="1:32">
      <c r="A126" s="138"/>
      <c r="B126" s="127" t="s">
        <v>623</v>
      </c>
      <c r="C126" s="133">
        <f>SUM(C127:C129)</f>
        <v>0</v>
      </c>
      <c r="D126" s="133">
        <f>SUM(D127:D129)</f>
        <v>0</v>
      </c>
      <c r="E126" s="133">
        <v>0</v>
      </c>
      <c r="F126" s="133">
        <f t="shared" ref="F126:O126" si="50">SUM(F127:F129)</f>
        <v>0</v>
      </c>
      <c r="G126" s="137">
        <f t="shared" si="50"/>
        <v>15921490</v>
      </c>
      <c r="H126" s="133">
        <f t="shared" si="50"/>
        <v>15921490</v>
      </c>
      <c r="I126" s="133">
        <f t="shared" si="50"/>
        <v>15921490</v>
      </c>
      <c r="J126" s="133">
        <f t="shared" si="50"/>
        <v>15921490</v>
      </c>
      <c r="K126" s="133">
        <v>0</v>
      </c>
      <c r="L126" s="133">
        <v>0</v>
      </c>
      <c r="M126" s="133">
        <v>0</v>
      </c>
      <c r="N126" s="133">
        <v>0</v>
      </c>
      <c r="O126" s="134">
        <f t="shared" si="50"/>
        <v>0</v>
      </c>
      <c r="Q126" s="133">
        <f>SUM(Q127:Q129)</f>
        <v>0</v>
      </c>
      <c r="R126" s="133">
        <f>SUM(R127:R129)</f>
        <v>0</v>
      </c>
      <c r="S126" s="133">
        <f t="shared" ref="S126:AC126" si="51">SUM(S127:S129)</f>
        <v>0</v>
      </c>
      <c r="T126" s="133">
        <f t="shared" si="51"/>
        <v>0</v>
      </c>
      <c r="U126" s="133">
        <f t="shared" si="51"/>
        <v>0</v>
      </c>
      <c r="V126" s="133">
        <f t="shared" si="51"/>
        <v>0</v>
      </c>
      <c r="W126" s="137">
        <f t="shared" si="51"/>
        <v>0</v>
      </c>
      <c r="X126" s="137">
        <f t="shared" si="51"/>
        <v>0</v>
      </c>
      <c r="Y126" s="133">
        <f t="shared" si="51"/>
        <v>0</v>
      </c>
      <c r="Z126" s="133">
        <f t="shared" si="51"/>
        <v>0</v>
      </c>
      <c r="AA126" s="133">
        <f t="shared" si="51"/>
        <v>0</v>
      </c>
      <c r="AB126" s="135">
        <v>357960000</v>
      </c>
      <c r="AC126" s="161">
        <f t="shared" si="51"/>
        <v>0</v>
      </c>
      <c r="AF126" s="426">
        <f t="shared" si="33"/>
        <v>0</v>
      </c>
    </row>
    <row r="127" spans="1:32" ht="15" customHeight="1" outlineLevel="1">
      <c r="A127" s="138"/>
      <c r="B127" s="132" t="s">
        <v>24</v>
      </c>
      <c r="C127" s="133"/>
      <c r="D127" s="133"/>
      <c r="E127" s="133"/>
      <c r="F127" s="133"/>
      <c r="G127" s="102"/>
      <c r="H127" s="133"/>
      <c r="I127" s="133"/>
      <c r="J127" s="133"/>
      <c r="K127" s="133"/>
      <c r="L127" s="133"/>
      <c r="M127" s="133"/>
      <c r="N127" s="133"/>
      <c r="O127" s="134"/>
      <c r="Q127" s="133"/>
      <c r="R127" s="133"/>
      <c r="S127" s="133"/>
      <c r="T127" s="133"/>
      <c r="U127" s="133"/>
      <c r="V127" s="133"/>
      <c r="W127" s="137"/>
      <c r="X127" s="137"/>
      <c r="Y127" s="133"/>
      <c r="Z127" s="133"/>
      <c r="AA127" s="133"/>
      <c r="AB127" s="135"/>
      <c r="AC127" s="161"/>
      <c r="AF127" s="426">
        <f t="shared" si="33"/>
        <v>0</v>
      </c>
    </row>
    <row r="128" spans="1:32" ht="15" customHeight="1" outlineLevel="1">
      <c r="A128" s="138"/>
      <c r="B128" s="132" t="s">
        <v>624</v>
      </c>
      <c r="C128" s="133"/>
      <c r="D128" s="133"/>
      <c r="E128" s="133"/>
      <c r="F128" s="133"/>
      <c r="G128" s="102"/>
      <c r="H128" s="133"/>
      <c r="I128" s="133"/>
      <c r="J128" s="133"/>
      <c r="K128" s="133"/>
      <c r="L128" s="133"/>
      <c r="M128" s="133"/>
      <c r="N128" s="133"/>
      <c r="O128" s="134"/>
      <c r="Q128" s="133"/>
      <c r="R128" s="133"/>
      <c r="S128" s="133"/>
      <c r="T128" s="133"/>
      <c r="U128" s="133"/>
      <c r="V128" s="133"/>
      <c r="W128" s="137"/>
      <c r="X128" s="137"/>
      <c r="Y128" s="133"/>
      <c r="Z128" s="133"/>
      <c r="AA128" s="133"/>
      <c r="AB128" s="135">
        <v>357960000</v>
      </c>
      <c r="AC128" s="161"/>
      <c r="AF128" s="426">
        <f t="shared" si="33"/>
        <v>0</v>
      </c>
    </row>
    <row r="129" spans="1:32" ht="15" customHeight="1" outlineLevel="1">
      <c r="A129" s="138"/>
      <c r="B129" s="132" t="s">
        <v>620</v>
      </c>
      <c r="C129" s="133"/>
      <c r="D129" s="133"/>
      <c r="E129" s="133"/>
      <c r="F129" s="133"/>
      <c r="G129" s="102">
        <v>15921490</v>
      </c>
      <c r="H129" s="133">
        <v>15921490</v>
      </c>
      <c r="I129" s="133">
        <v>15921490</v>
      </c>
      <c r="J129" s="133">
        <v>15921490</v>
      </c>
      <c r="K129" s="133"/>
      <c r="L129" s="133"/>
      <c r="M129" s="133"/>
      <c r="N129" s="133"/>
      <c r="O129" s="134"/>
      <c r="Q129" s="133"/>
      <c r="R129" s="133"/>
      <c r="S129" s="133"/>
      <c r="T129" s="133"/>
      <c r="U129" s="133"/>
      <c r="V129" s="133"/>
      <c r="W129" s="137"/>
      <c r="X129" s="137"/>
      <c r="Y129" s="133"/>
      <c r="Z129" s="133"/>
      <c r="AA129" s="133"/>
      <c r="AB129" s="135"/>
      <c r="AC129" s="161"/>
      <c r="AF129" s="426">
        <f t="shared" si="33"/>
        <v>0</v>
      </c>
    </row>
    <row r="130" spans="1:32">
      <c r="A130" s="138"/>
      <c r="B130" s="127" t="s">
        <v>625</v>
      </c>
      <c r="C130" s="133">
        <f>SUM(C131:C138)</f>
        <v>264689383.82000002</v>
      </c>
      <c r="D130" s="133">
        <f>SUM(D131:D138)</f>
        <v>92667777.469999999</v>
      </c>
      <c r="E130" s="133">
        <f>SUM(E131:E138)</f>
        <v>46516665.860000007</v>
      </c>
      <c r="F130" s="133">
        <f t="shared" ref="F130:O130" si="52">SUM(F131:F138)</f>
        <v>67063266.86999999</v>
      </c>
      <c r="G130" s="137">
        <f t="shared" si="52"/>
        <v>13204921.379999999</v>
      </c>
      <c r="H130" s="133">
        <f t="shared" si="52"/>
        <v>334477815.61999995</v>
      </c>
      <c r="I130" s="133">
        <f t="shared" si="52"/>
        <v>789444882.22000003</v>
      </c>
      <c r="J130" s="133">
        <f t="shared" si="52"/>
        <v>856102019.43999994</v>
      </c>
      <c r="K130" s="133">
        <v>757387222.97000003</v>
      </c>
      <c r="L130" s="133">
        <v>525218818.00000006</v>
      </c>
      <c r="M130" s="133">
        <v>1072136687.14</v>
      </c>
      <c r="N130" s="133">
        <v>3104151151.8600001</v>
      </c>
      <c r="O130" s="134">
        <f t="shared" si="52"/>
        <v>0</v>
      </c>
      <c r="Q130" s="133">
        <f>SUM(Q131:Q138)</f>
        <v>156949432.90000001</v>
      </c>
      <c r="R130" s="133">
        <f>SUM(R131:R138)</f>
        <v>69891677.910000011</v>
      </c>
      <c r="S130" s="133">
        <f t="shared" ref="S130:AC130" si="53">SUM(S131:S138)</f>
        <v>107688414.99999999</v>
      </c>
      <c r="T130" s="133">
        <f t="shared" si="53"/>
        <v>59810631.149999999</v>
      </c>
      <c r="U130" s="133">
        <f t="shared" si="53"/>
        <v>113369514.76000002</v>
      </c>
      <c r="V130" s="133">
        <f t="shared" si="53"/>
        <v>107519652.34999999</v>
      </c>
      <c r="W130" s="137">
        <f t="shared" si="53"/>
        <v>104814611.77</v>
      </c>
      <c r="X130" s="137">
        <f t="shared" si="53"/>
        <v>229265496.99000001</v>
      </c>
      <c r="Y130" s="133">
        <f t="shared" si="53"/>
        <v>543929204.07999992</v>
      </c>
      <c r="Z130" s="133">
        <f t="shared" si="53"/>
        <v>567096223.75999999</v>
      </c>
      <c r="AA130" s="133">
        <f t="shared" si="53"/>
        <v>580756617.06000006</v>
      </c>
      <c r="AB130" s="135">
        <v>2946670606.3400006</v>
      </c>
      <c r="AC130" s="161">
        <f t="shared" si="53"/>
        <v>0</v>
      </c>
      <c r="AF130" s="426">
        <f t="shared" si="33"/>
        <v>3104151.1518600001</v>
      </c>
    </row>
    <row r="131" spans="1:32" ht="15" customHeight="1" outlineLevel="1">
      <c r="A131" s="159" t="s">
        <v>626</v>
      </c>
      <c r="B131" s="132" t="s">
        <v>561</v>
      </c>
      <c r="C131" s="133">
        <v>79616528.900000006</v>
      </c>
      <c r="D131" s="133">
        <v>0</v>
      </c>
      <c r="E131" s="133">
        <v>24031774.030000001</v>
      </c>
      <c r="F131" s="133">
        <v>14842510.439999999</v>
      </c>
      <c r="G131" s="102">
        <v>0</v>
      </c>
      <c r="H131" s="133">
        <v>117587229.08</v>
      </c>
      <c r="I131" s="133">
        <v>471404770.35000002</v>
      </c>
      <c r="J131" s="133">
        <v>590536249.49000001</v>
      </c>
      <c r="K131" s="133">
        <v>512840016</v>
      </c>
      <c r="L131" s="133">
        <v>361264302.52999997</v>
      </c>
      <c r="M131" s="133">
        <v>694144726.29999995</v>
      </c>
      <c r="N131" s="133">
        <v>1971409874.3299999</v>
      </c>
      <c r="O131" s="134">
        <f t="shared" ref="O131:O138" si="54">AU131</f>
        <v>0</v>
      </c>
      <c r="Q131" s="133">
        <v>38334995.310000002</v>
      </c>
      <c r="R131" s="178">
        <v>51278271.090000004</v>
      </c>
      <c r="S131" s="133">
        <v>10468855.59</v>
      </c>
      <c r="T131" s="133">
        <v>16688070.85</v>
      </c>
      <c r="U131" s="133">
        <v>14664815.09</v>
      </c>
      <c r="V131" s="133">
        <f>654672.94</f>
        <v>654672.93999999994</v>
      </c>
      <c r="W131" s="133">
        <v>24732435.5</v>
      </c>
      <c r="X131" s="133">
        <v>169614022.43000001</v>
      </c>
      <c r="Y131" s="133">
        <v>509045484.94999999</v>
      </c>
      <c r="Z131" s="133">
        <f>554751216.92</f>
        <v>554751216.91999996</v>
      </c>
      <c r="AA131" s="133">
        <v>519739529.36000001</v>
      </c>
      <c r="AB131" s="179">
        <v>2196929650.9600005</v>
      </c>
      <c r="AC131" s="161">
        <f t="shared" ref="AC131:AC138" si="55">BI131</f>
        <v>0</v>
      </c>
      <c r="AF131" s="426">
        <f t="shared" si="33"/>
        <v>1971409.87433</v>
      </c>
    </row>
    <row r="132" spans="1:32" ht="15" customHeight="1" outlineLevel="1">
      <c r="A132" s="159" t="s">
        <v>627</v>
      </c>
      <c r="B132" s="132" t="s">
        <v>563</v>
      </c>
      <c r="C132" s="133">
        <v>33005829.530000001</v>
      </c>
      <c r="D132" s="133">
        <v>6544103.5600000005</v>
      </c>
      <c r="E132" s="133">
        <v>11901340.6</v>
      </c>
      <c r="F132" s="133">
        <v>17925995.939999998</v>
      </c>
      <c r="G132" s="102">
        <v>9069280.2799999993</v>
      </c>
      <c r="H132" s="133">
        <v>39580038.310000002</v>
      </c>
      <c r="I132" s="133">
        <v>57425787.200000003</v>
      </c>
      <c r="J132" s="133">
        <v>22719544.25</v>
      </c>
      <c r="K132" s="133">
        <v>21260534</v>
      </c>
      <c r="L132" s="133">
        <v>38523614.350000001</v>
      </c>
      <c r="M132" s="133">
        <v>26138170.049999997</v>
      </c>
      <c r="N132" s="133">
        <v>462394578.40000004</v>
      </c>
      <c r="O132" s="134">
        <f t="shared" si="54"/>
        <v>0</v>
      </c>
      <c r="Q132" s="133">
        <v>44470775.340000004</v>
      </c>
      <c r="R132" s="178">
        <v>14935742.24</v>
      </c>
      <c r="S132" s="133">
        <v>12056508.539999999</v>
      </c>
      <c r="T132" s="133">
        <f>7041952.8</f>
        <v>7041952.7999999998</v>
      </c>
      <c r="U132" s="133">
        <v>6041464.7300000004</v>
      </c>
      <c r="V132" s="133">
        <f>9431190.42</f>
        <v>9431190.4199999999</v>
      </c>
      <c r="W132" s="133">
        <v>21404649.809999999</v>
      </c>
      <c r="X132" s="133">
        <v>28586702.57</v>
      </c>
      <c r="Y132" s="133">
        <v>12436611.529999999</v>
      </c>
      <c r="Z132" s="133">
        <f>4652624.39</f>
        <v>4652624.3899999997</v>
      </c>
      <c r="AA132" s="133">
        <v>10192229.07</v>
      </c>
      <c r="AB132" s="135">
        <v>322307311.14000005</v>
      </c>
      <c r="AC132" s="161">
        <f t="shared" si="55"/>
        <v>0</v>
      </c>
      <c r="AF132" s="426">
        <f t="shared" si="33"/>
        <v>462394.57840000006</v>
      </c>
    </row>
    <row r="133" spans="1:32" ht="15" customHeight="1" outlineLevel="1">
      <c r="A133" s="159" t="s">
        <v>628</v>
      </c>
      <c r="B133" s="132" t="s">
        <v>562</v>
      </c>
      <c r="C133" s="133">
        <v>116970018.22</v>
      </c>
      <c r="D133" s="133">
        <v>82153917.879999995</v>
      </c>
      <c r="E133" s="133">
        <v>6799985.0999999996</v>
      </c>
      <c r="F133" s="133">
        <v>23227288.16</v>
      </c>
      <c r="G133" s="102">
        <v>0</v>
      </c>
      <c r="H133" s="133">
        <v>143299641.25999999</v>
      </c>
      <c r="I133" s="133">
        <v>224490451.21000001</v>
      </c>
      <c r="J133" s="133">
        <v>222859032.81</v>
      </c>
      <c r="K133" s="133">
        <v>207762649.84</v>
      </c>
      <c r="L133" s="133">
        <v>102599711.09999999</v>
      </c>
      <c r="M133" s="133">
        <v>324691279.97000003</v>
      </c>
      <c r="N133" s="133">
        <v>336781610.05000001</v>
      </c>
      <c r="O133" s="134">
        <f t="shared" si="54"/>
        <v>0</v>
      </c>
      <c r="Q133" s="133"/>
      <c r="R133" s="133"/>
      <c r="S133" s="133">
        <v>13912652.359999999</v>
      </c>
      <c r="T133" s="133"/>
      <c r="U133" s="133"/>
      <c r="V133" s="133"/>
      <c r="W133" s="133"/>
      <c r="X133" s="133">
        <v>3737468.27</v>
      </c>
      <c r="Y133" s="133">
        <v>15990722.810000001</v>
      </c>
      <c r="Z133" s="133"/>
      <c r="AA133" s="133">
        <v>38388721.710000001</v>
      </c>
      <c r="AB133" s="135">
        <v>154839443.52000001</v>
      </c>
      <c r="AC133" s="161">
        <f t="shared" si="55"/>
        <v>0</v>
      </c>
      <c r="AF133" s="426">
        <f t="shared" si="33"/>
        <v>336781.61005000002</v>
      </c>
    </row>
    <row r="134" spans="1:32" ht="15" customHeight="1" outlineLevel="1">
      <c r="A134" s="159" t="s">
        <v>629</v>
      </c>
      <c r="B134" s="132" t="s">
        <v>630</v>
      </c>
      <c r="C134" s="133">
        <v>28787014.52</v>
      </c>
      <c r="D134" s="133">
        <v>0</v>
      </c>
      <c r="E134" s="133"/>
      <c r="F134" s="133">
        <v>6890932.5</v>
      </c>
      <c r="G134" s="102">
        <v>0</v>
      </c>
      <c r="H134" s="133">
        <v>29193361.710000001</v>
      </c>
      <c r="I134" s="133">
        <v>31015776.870000001</v>
      </c>
      <c r="J134" s="133">
        <v>14627405.34</v>
      </c>
      <c r="K134" s="133">
        <v>10352697.34</v>
      </c>
      <c r="L134" s="133">
        <v>17771207.719999999</v>
      </c>
      <c r="M134" s="133">
        <v>22037070.190000001</v>
      </c>
      <c r="N134" s="133">
        <v>310674501.72000003</v>
      </c>
      <c r="O134" s="134">
        <f t="shared" si="54"/>
        <v>0</v>
      </c>
      <c r="Q134" s="133">
        <v>68418682.840000004</v>
      </c>
      <c r="R134" s="178"/>
      <c r="S134" s="133">
        <v>67674934.049999997</v>
      </c>
      <c r="T134" s="133">
        <f>32333708.47</f>
        <v>32333708.469999999</v>
      </c>
      <c r="U134" s="133">
        <v>88591957.290000007</v>
      </c>
      <c r="V134" s="133">
        <f>92888112.32</f>
        <v>92888112.319999993</v>
      </c>
      <c r="W134" s="133">
        <v>53932237.329999998</v>
      </c>
      <c r="X134" s="133">
        <v>22364802.550000001</v>
      </c>
      <c r="Y134" s="133">
        <v>1951429.42</v>
      </c>
      <c r="Z134" s="133"/>
      <c r="AA134" s="133">
        <v>8223415.4500000002</v>
      </c>
      <c r="AB134" s="135">
        <v>256848743.11000001</v>
      </c>
      <c r="AC134" s="161">
        <f t="shared" si="55"/>
        <v>0</v>
      </c>
      <c r="AF134" s="426">
        <f t="shared" si="33"/>
        <v>310674.50172</v>
      </c>
    </row>
    <row r="135" spans="1:32" ht="15" customHeight="1" outlineLevel="1">
      <c r="A135" s="159" t="s">
        <v>631</v>
      </c>
      <c r="B135" s="132" t="s">
        <v>565</v>
      </c>
      <c r="C135" s="133"/>
      <c r="D135" s="133"/>
      <c r="E135" s="133"/>
      <c r="F135" s="133"/>
      <c r="G135" s="102"/>
      <c r="H135" s="133"/>
      <c r="I135" s="133"/>
      <c r="J135" s="133"/>
      <c r="K135" s="133"/>
      <c r="L135" s="133"/>
      <c r="M135" s="133"/>
      <c r="N135" s="133"/>
      <c r="O135" s="134">
        <f t="shared" si="54"/>
        <v>0</v>
      </c>
      <c r="Q135" s="133"/>
      <c r="R135" s="133"/>
      <c r="S135" s="133"/>
      <c r="T135" s="133"/>
      <c r="U135" s="133"/>
      <c r="V135" s="133"/>
      <c r="W135" s="133"/>
      <c r="X135" s="133"/>
      <c r="Y135" s="133"/>
      <c r="Z135" s="133"/>
      <c r="AA135" s="133"/>
      <c r="AB135" s="135"/>
      <c r="AC135" s="161">
        <f t="shared" si="55"/>
        <v>0</v>
      </c>
      <c r="AF135" s="426">
        <f t="shared" si="33"/>
        <v>0</v>
      </c>
    </row>
    <row r="136" spans="1:32" ht="15" customHeight="1" outlineLevel="1">
      <c r="A136" s="159" t="s">
        <v>632</v>
      </c>
      <c r="B136" s="132" t="s">
        <v>566</v>
      </c>
      <c r="C136" s="133"/>
      <c r="D136" s="133"/>
      <c r="E136" s="133"/>
      <c r="F136" s="133"/>
      <c r="G136" s="102"/>
      <c r="H136" s="133"/>
      <c r="I136" s="133"/>
      <c r="J136" s="133"/>
      <c r="K136" s="133"/>
      <c r="L136" s="133"/>
      <c r="M136" s="133"/>
      <c r="N136" s="133"/>
      <c r="O136" s="134">
        <f t="shared" si="54"/>
        <v>0</v>
      </c>
      <c r="Q136" s="133"/>
      <c r="R136" s="133"/>
      <c r="S136" s="133"/>
      <c r="T136" s="133"/>
      <c r="U136" s="133"/>
      <c r="V136" s="133"/>
      <c r="W136" s="133"/>
      <c r="X136" s="133"/>
      <c r="Y136" s="133"/>
      <c r="Z136" s="133"/>
      <c r="AA136" s="133"/>
      <c r="AB136" s="135"/>
      <c r="AC136" s="161">
        <f t="shared" si="55"/>
        <v>0</v>
      </c>
      <c r="AF136" s="426">
        <f t="shared" si="33"/>
        <v>0</v>
      </c>
    </row>
    <row r="137" spans="1:32" ht="15" customHeight="1" outlineLevel="1">
      <c r="A137" s="159" t="s">
        <v>633</v>
      </c>
      <c r="B137" s="132" t="s">
        <v>567</v>
      </c>
      <c r="C137" s="133"/>
      <c r="D137" s="133"/>
      <c r="E137" s="133"/>
      <c r="F137" s="133"/>
      <c r="G137" s="102"/>
      <c r="H137" s="133"/>
      <c r="I137" s="133"/>
      <c r="J137" s="133"/>
      <c r="K137" s="133"/>
      <c r="L137" s="133"/>
      <c r="M137" s="133"/>
      <c r="N137" s="133"/>
      <c r="O137" s="134">
        <f t="shared" si="54"/>
        <v>0</v>
      </c>
      <c r="Q137" s="133"/>
      <c r="R137" s="133"/>
      <c r="S137" s="133"/>
      <c r="T137" s="133"/>
      <c r="U137" s="133"/>
      <c r="V137" s="133"/>
      <c r="W137" s="133"/>
      <c r="X137" s="133"/>
      <c r="Y137" s="133"/>
      <c r="Z137" s="133"/>
      <c r="AA137" s="133"/>
      <c r="AB137" s="135"/>
      <c r="AC137" s="161">
        <f t="shared" si="55"/>
        <v>0</v>
      </c>
      <c r="AF137" s="426">
        <f t="shared" si="33"/>
        <v>0</v>
      </c>
    </row>
    <row r="138" spans="1:32" ht="15" customHeight="1" outlineLevel="1">
      <c r="A138" s="159" t="s">
        <v>634</v>
      </c>
      <c r="B138" s="132" t="s">
        <v>568</v>
      </c>
      <c r="C138" s="133">
        <v>6309992.6500000004</v>
      </c>
      <c r="D138" s="133">
        <v>3969756.03</v>
      </c>
      <c r="E138" s="133">
        <v>3783566.13</v>
      </c>
      <c r="F138" s="133">
        <v>4176539.83</v>
      </c>
      <c r="G138" s="102">
        <v>4135641.1</v>
      </c>
      <c r="H138" s="133">
        <v>4817545.26</v>
      </c>
      <c r="I138" s="133">
        <v>5108096.59</v>
      </c>
      <c r="J138" s="133">
        <v>5359787.55</v>
      </c>
      <c r="K138" s="133">
        <v>5171325.79</v>
      </c>
      <c r="L138" s="133">
        <v>5059982.3</v>
      </c>
      <c r="M138" s="133">
        <v>5125440.63</v>
      </c>
      <c r="N138" s="133">
        <v>22890587.359999999</v>
      </c>
      <c r="O138" s="134">
        <f t="shared" si="54"/>
        <v>0</v>
      </c>
      <c r="Q138" s="133">
        <v>5724979.4100000001</v>
      </c>
      <c r="R138" s="178">
        <v>3677664.58</v>
      </c>
      <c r="S138" s="133">
        <v>3575464.46</v>
      </c>
      <c r="T138" s="133">
        <v>3746899.03</v>
      </c>
      <c r="U138" s="133">
        <v>4071277.65</v>
      </c>
      <c r="V138" s="133">
        <f>4545676.67</f>
        <v>4545676.67</v>
      </c>
      <c r="W138" s="133">
        <v>4745289.13</v>
      </c>
      <c r="X138" s="133">
        <v>4962501.17</v>
      </c>
      <c r="Y138" s="133">
        <v>4504955.37</v>
      </c>
      <c r="Z138" s="133">
        <v>7692382.4500000002</v>
      </c>
      <c r="AA138" s="133">
        <v>4212721.47</v>
      </c>
      <c r="AB138" s="135">
        <v>15745457.609999999</v>
      </c>
      <c r="AC138" s="161">
        <f t="shared" si="55"/>
        <v>0</v>
      </c>
      <c r="AF138" s="426">
        <f t="shared" si="33"/>
        <v>22890.587359999998</v>
      </c>
    </row>
    <row r="139" spans="1:32">
      <c r="A139" s="131"/>
      <c r="B139" s="164" t="s">
        <v>635</v>
      </c>
      <c r="C139" s="133">
        <f>SUM(C140:C141)</f>
        <v>184759527.59</v>
      </c>
      <c r="D139" s="133">
        <f>SUM(D140:D141)</f>
        <v>415700199.35000002</v>
      </c>
      <c r="E139" s="133">
        <f>SUM(E140:E141)</f>
        <v>777326195.86000001</v>
      </c>
      <c r="F139" s="133">
        <f t="shared" ref="F139:O139" si="56">SUM(F140:F141)</f>
        <v>1905317193.8499999</v>
      </c>
      <c r="G139" s="133">
        <f t="shared" si="56"/>
        <v>2466047312.0099998</v>
      </c>
      <c r="H139" s="133">
        <f t="shared" si="56"/>
        <v>2540316531.6300001</v>
      </c>
      <c r="I139" s="133">
        <f t="shared" si="56"/>
        <v>1190918890.75</v>
      </c>
      <c r="J139" s="133">
        <f t="shared" si="56"/>
        <v>1002898089.96</v>
      </c>
      <c r="K139" s="133">
        <v>836784293.82000005</v>
      </c>
      <c r="L139" s="133">
        <v>607060896.69000006</v>
      </c>
      <c r="M139" s="133">
        <v>526929502.89999998</v>
      </c>
      <c r="N139" s="133">
        <v>1638481132.4200001</v>
      </c>
      <c r="O139" s="134">
        <f t="shared" si="56"/>
        <v>0</v>
      </c>
      <c r="Q139" s="133">
        <f>SUM(Q140:Q141)</f>
        <v>143664626.97</v>
      </c>
      <c r="R139" s="133">
        <f>SUM(R140:R141)</f>
        <v>100089361.28</v>
      </c>
      <c r="S139" s="133">
        <f t="shared" ref="S139:AC139" si="57">SUM(S140:S141)</f>
        <v>784648744.51999998</v>
      </c>
      <c r="T139" s="133">
        <f t="shared" si="57"/>
        <v>1103195975.02</v>
      </c>
      <c r="U139" s="133">
        <f t="shared" si="57"/>
        <v>1751580568.4400001</v>
      </c>
      <c r="V139" s="133">
        <f t="shared" si="57"/>
        <v>1887100011.8299999</v>
      </c>
      <c r="W139" s="133">
        <f t="shared" si="57"/>
        <v>1414235883.25</v>
      </c>
      <c r="X139" s="133">
        <f t="shared" si="57"/>
        <v>775203697.60000002</v>
      </c>
      <c r="Y139" s="133">
        <f t="shared" si="57"/>
        <v>843911314.63</v>
      </c>
      <c r="Z139" s="133">
        <f t="shared" si="57"/>
        <v>311633593.70999998</v>
      </c>
      <c r="AA139" s="133">
        <f t="shared" si="57"/>
        <v>187629191.96000001</v>
      </c>
      <c r="AB139" s="135">
        <v>677181113.41999996</v>
      </c>
      <c r="AC139" s="161">
        <f t="shared" si="57"/>
        <v>0</v>
      </c>
      <c r="AF139" s="426">
        <f t="shared" si="33"/>
        <v>1638481.1324200002</v>
      </c>
    </row>
    <row r="140" spans="1:32" ht="15" customHeight="1" outlineLevel="1">
      <c r="A140" s="159" t="s">
        <v>636</v>
      </c>
      <c r="B140" s="166" t="s">
        <v>635</v>
      </c>
      <c r="C140" s="133">
        <v>184759527.59</v>
      </c>
      <c r="D140" s="133">
        <v>415700199.35000002</v>
      </c>
      <c r="E140" s="133">
        <v>777326195.86000001</v>
      </c>
      <c r="F140" s="133">
        <v>1905317193.8499999</v>
      </c>
      <c r="G140" s="102">
        <v>2466047312.0099998</v>
      </c>
      <c r="H140" s="133">
        <v>2540316531.6300001</v>
      </c>
      <c r="I140" s="133">
        <v>1190918890.75</v>
      </c>
      <c r="J140" s="133">
        <v>1002898089.96</v>
      </c>
      <c r="K140" s="133">
        <v>836784293.82000005</v>
      </c>
      <c r="L140" s="133">
        <v>607060896.69000006</v>
      </c>
      <c r="M140" s="133">
        <v>526929502.89999998</v>
      </c>
      <c r="N140" s="133">
        <v>1638481132.4200001</v>
      </c>
      <c r="O140" s="134">
        <f>AU140</f>
        <v>0</v>
      </c>
      <c r="Q140" s="133">
        <f>143664626.97</f>
        <v>143664626.97</v>
      </c>
      <c r="R140" s="133">
        <v>100089361.28</v>
      </c>
      <c r="S140" s="133">
        <v>784648744.51999998</v>
      </c>
      <c r="T140" s="133">
        <f>1103195975.02</f>
        <v>1103195975.02</v>
      </c>
      <c r="U140" s="133">
        <f>1751580568.44</f>
        <v>1751580568.4400001</v>
      </c>
      <c r="V140" s="133">
        <f>1887550011.83-450000</f>
        <v>1887100011.8299999</v>
      </c>
      <c r="W140" s="133">
        <f>1414685883.25-450000</f>
        <v>1414235883.25</v>
      </c>
      <c r="X140" s="133">
        <f>775653697.6-450000</f>
        <v>775203697.60000002</v>
      </c>
      <c r="Y140" s="133">
        <f>844361314.63-450000</f>
        <v>843911314.63</v>
      </c>
      <c r="Z140" s="133">
        <f>312083593.71-450000</f>
        <v>311633593.70999998</v>
      </c>
      <c r="AA140" s="133">
        <f>188079191.96-450000</f>
        <v>187629191.96000001</v>
      </c>
      <c r="AB140" s="135">
        <v>677181113.41999996</v>
      </c>
      <c r="AC140" s="161">
        <f>BI140</f>
        <v>0</v>
      </c>
      <c r="AF140" s="426">
        <f t="shared" si="33"/>
        <v>1638481.1324200002</v>
      </c>
    </row>
    <row r="141" spans="1:32" ht="15" customHeight="1" outlineLevel="1">
      <c r="A141" s="159">
        <v>3210</v>
      </c>
      <c r="B141" s="166" t="s">
        <v>637</v>
      </c>
      <c r="C141" s="133"/>
      <c r="D141" s="133"/>
      <c r="E141" s="133"/>
      <c r="F141" s="133"/>
      <c r="G141" s="102"/>
      <c r="H141" s="133"/>
      <c r="I141" s="133"/>
      <c r="J141" s="133"/>
      <c r="K141" s="133"/>
      <c r="L141" s="133"/>
      <c r="M141" s="133"/>
      <c r="N141" s="133"/>
      <c r="O141" s="134">
        <f>AU141</f>
        <v>0</v>
      </c>
      <c r="Q141" s="133"/>
      <c r="R141" s="133"/>
      <c r="S141" s="133"/>
      <c r="T141" s="133"/>
      <c r="U141" s="133"/>
      <c r="V141" s="133"/>
      <c r="W141" s="133"/>
      <c r="X141" s="133"/>
      <c r="Y141" s="133"/>
      <c r="Z141" s="133"/>
      <c r="AA141" s="133"/>
      <c r="AB141" s="135"/>
      <c r="AC141" s="161">
        <f>BI141</f>
        <v>0</v>
      </c>
      <c r="AF141" s="426">
        <f t="shared" si="33"/>
        <v>0</v>
      </c>
    </row>
    <row r="142" spans="1:32">
      <c r="A142" s="159"/>
      <c r="B142" s="164" t="s">
        <v>27</v>
      </c>
      <c r="C142" s="133">
        <f>SUM(C143:C147)</f>
        <v>1830921250</v>
      </c>
      <c r="D142" s="133">
        <f>SUM(D143:D147)</f>
        <v>1117243750</v>
      </c>
      <c r="E142" s="133">
        <f>SUM(E143:E147)</f>
        <v>1114087500</v>
      </c>
      <c r="F142" s="133">
        <f t="shared" ref="F142:O142" si="58">SUM(F143:F147)</f>
        <v>7123087500</v>
      </c>
      <c r="G142" s="133">
        <f t="shared" si="58"/>
        <v>13726656250</v>
      </c>
      <c r="H142" s="133">
        <f t="shared" si="58"/>
        <v>13491150000</v>
      </c>
      <c r="I142" s="133">
        <f t="shared" si="58"/>
        <v>14427500000</v>
      </c>
      <c r="J142" s="133">
        <f t="shared" si="58"/>
        <v>12263787500</v>
      </c>
      <c r="K142" s="133">
        <v>11300675000</v>
      </c>
      <c r="L142" s="133">
        <v>9916500000</v>
      </c>
      <c r="M142" s="133">
        <v>13458962500</v>
      </c>
      <c r="N142" s="133">
        <v>40469032684.170006</v>
      </c>
      <c r="O142" s="134">
        <f t="shared" si="58"/>
        <v>0</v>
      </c>
      <c r="Q142" s="133">
        <f>SUM(Q143:Q147)</f>
        <v>2297196383.4099998</v>
      </c>
      <c r="R142" s="133">
        <f>SUM(R143:R147)</f>
        <v>1657929013.5899999</v>
      </c>
      <c r="S142" s="133">
        <f t="shared" ref="S142:AC142" si="59">SUM(S143:S147)</f>
        <v>2405658335.9699998</v>
      </c>
      <c r="T142" s="133">
        <f t="shared" si="59"/>
        <v>2368481671.8599997</v>
      </c>
      <c r="U142" s="133">
        <f t="shared" si="59"/>
        <v>2427509427.8599997</v>
      </c>
      <c r="V142" s="133">
        <f t="shared" si="59"/>
        <v>4015424396.9499998</v>
      </c>
      <c r="W142" s="133">
        <f t="shared" si="59"/>
        <v>3955730845.4499998</v>
      </c>
      <c r="X142" s="133">
        <f t="shared" si="59"/>
        <v>3481937953.5299997</v>
      </c>
      <c r="Y142" s="133">
        <f t="shared" si="59"/>
        <v>3573045897.5099998</v>
      </c>
      <c r="Z142" s="133">
        <f t="shared" si="59"/>
        <v>3744294715.0599999</v>
      </c>
      <c r="AA142" s="133">
        <f t="shared" si="59"/>
        <v>3828356192.29</v>
      </c>
      <c r="AB142" s="135">
        <v>31678103238.220001</v>
      </c>
      <c r="AC142" s="161">
        <f t="shared" si="59"/>
        <v>0</v>
      </c>
      <c r="AF142" s="426">
        <f t="shared" si="33"/>
        <v>40469032.684170008</v>
      </c>
    </row>
    <row r="143" spans="1:32" s="185" customFormat="1" ht="11.25" customHeight="1" outlineLevel="1">
      <c r="A143" s="180">
        <v>3140</v>
      </c>
      <c r="B143" s="181" t="s">
        <v>638</v>
      </c>
      <c r="C143" s="133"/>
      <c r="D143" s="133"/>
      <c r="E143" s="133"/>
      <c r="F143" s="133"/>
      <c r="G143" s="182"/>
      <c r="H143" s="133"/>
      <c r="I143" s="133"/>
      <c r="J143" s="133"/>
      <c r="K143" s="133"/>
      <c r="L143" s="133"/>
      <c r="M143" s="133"/>
      <c r="N143" s="133"/>
      <c r="O143" s="183">
        <f>AU143</f>
        <v>0</v>
      </c>
      <c r="P143" s="182"/>
      <c r="Q143" s="133"/>
      <c r="R143" s="133"/>
      <c r="S143" s="133"/>
      <c r="T143" s="133"/>
      <c r="U143" s="133"/>
      <c r="V143" s="133"/>
      <c r="W143" s="133"/>
      <c r="X143" s="133"/>
      <c r="Y143" s="133"/>
      <c r="Z143" s="133"/>
      <c r="AA143" s="133"/>
      <c r="AB143" s="135"/>
      <c r="AC143" s="184">
        <f>BI143</f>
        <v>0</v>
      </c>
      <c r="AD143" s="182"/>
      <c r="AF143" s="426">
        <f t="shared" ref="AF143:AF173" si="60">+N143/1000</f>
        <v>0</v>
      </c>
    </row>
    <row r="144" spans="1:32" ht="15" customHeight="1" outlineLevel="1">
      <c r="A144" s="159">
        <v>3140</v>
      </c>
      <c r="B144" s="166" t="s">
        <v>27</v>
      </c>
      <c r="C144" s="133">
        <v>1830921250</v>
      </c>
      <c r="D144" s="133">
        <v>1117243750</v>
      </c>
      <c r="E144" s="133">
        <v>1114087500</v>
      </c>
      <c r="F144" s="133">
        <v>7123087500</v>
      </c>
      <c r="G144" s="102">
        <v>13726656250</v>
      </c>
      <c r="H144" s="133">
        <v>13491150000</v>
      </c>
      <c r="I144" s="133">
        <v>14427500000</v>
      </c>
      <c r="J144" s="133">
        <v>12263787500</v>
      </c>
      <c r="K144" s="133">
        <v>11300675000</v>
      </c>
      <c r="L144" s="133">
        <v>9916500000</v>
      </c>
      <c r="M144" s="133">
        <v>13458962500</v>
      </c>
      <c r="N144" s="133">
        <v>40028772070.120003</v>
      </c>
      <c r="O144" s="134">
        <f>AU144</f>
        <v>0</v>
      </c>
      <c r="Q144" s="133">
        <v>2190296745</v>
      </c>
      <c r="R144" s="133">
        <v>1591397701.5</v>
      </c>
      <c r="S144" s="133">
        <f>1601629908+690794653.16</f>
        <v>2292424561.1599998</v>
      </c>
      <c r="T144" s="133">
        <f>1522891875+690794653.16</f>
        <v>2213686528.1599998</v>
      </c>
      <c r="U144" s="133">
        <v>2223695278.1599998</v>
      </c>
      <c r="V144" s="133">
        <v>3763905903.1599998</v>
      </c>
      <c r="W144" s="133">
        <v>3879888403.1599998</v>
      </c>
      <c r="X144" s="133">
        <f>1687500*1616.98+690794653.16</f>
        <v>3419448403.1599998</v>
      </c>
      <c r="Y144" s="133">
        <f>1687500*1646.48+690794653.16</f>
        <v>3469229653.1599998</v>
      </c>
      <c r="Z144" s="133">
        <f>1687500*1719.03+690794653.16</f>
        <v>3591657778.1599998</v>
      </c>
      <c r="AA144" s="133">
        <f>2939135625+690794653.16</f>
        <v>3629930278.1599998</v>
      </c>
      <c r="AB144" s="135">
        <v>31551169302.240002</v>
      </c>
      <c r="AC144" s="161">
        <f>BI144</f>
        <v>0</v>
      </c>
      <c r="AF144" s="426">
        <f t="shared" si="60"/>
        <v>40028772.070119999</v>
      </c>
    </row>
    <row r="145" spans="1:35" ht="15" customHeight="1" outlineLevel="1">
      <c r="A145" s="159">
        <v>3141</v>
      </c>
      <c r="B145" s="166" t="s">
        <v>639</v>
      </c>
      <c r="C145" s="133"/>
      <c r="D145" s="133"/>
      <c r="E145" s="133"/>
      <c r="F145" s="133"/>
      <c r="G145" s="102"/>
      <c r="H145" s="133"/>
      <c r="I145" s="133"/>
      <c r="J145" s="133"/>
      <c r="K145" s="133"/>
      <c r="L145" s="133"/>
      <c r="M145" s="133"/>
      <c r="N145" s="133"/>
      <c r="O145" s="134">
        <f>AU145</f>
        <v>0</v>
      </c>
      <c r="Q145" s="133"/>
      <c r="R145" s="133"/>
      <c r="S145" s="133"/>
      <c r="T145" s="133"/>
      <c r="U145" s="133"/>
      <c r="V145" s="133"/>
      <c r="W145" s="133"/>
      <c r="X145" s="133"/>
      <c r="Y145" s="133"/>
      <c r="Z145" s="133"/>
      <c r="AA145" s="133"/>
      <c r="AB145" s="135"/>
      <c r="AC145" s="161">
        <f>BI145</f>
        <v>0</v>
      </c>
      <c r="AF145" s="426">
        <f t="shared" si="60"/>
        <v>0</v>
      </c>
    </row>
    <row r="146" spans="1:35" ht="15" customHeight="1" outlineLevel="1">
      <c r="A146" s="159"/>
      <c r="B146" s="166" t="s">
        <v>640</v>
      </c>
      <c r="C146" s="133"/>
      <c r="D146" s="133"/>
      <c r="E146" s="133"/>
      <c r="F146" s="133"/>
      <c r="G146" s="102"/>
      <c r="H146" s="133"/>
      <c r="I146" s="133"/>
      <c r="J146" s="133"/>
      <c r="K146" s="133"/>
      <c r="L146" s="133"/>
      <c r="M146" s="133"/>
      <c r="N146" s="133"/>
      <c r="O146" s="134"/>
      <c r="Q146" s="133"/>
      <c r="R146" s="133"/>
      <c r="S146" s="133"/>
      <c r="T146" s="133"/>
      <c r="U146" s="133"/>
      <c r="V146" s="133"/>
      <c r="W146" s="133"/>
      <c r="X146" s="133"/>
      <c r="Y146" s="133"/>
      <c r="Z146" s="133"/>
      <c r="AA146" s="133"/>
      <c r="AB146" s="135"/>
      <c r="AC146" s="161"/>
      <c r="AF146" s="426">
        <f t="shared" si="60"/>
        <v>0</v>
      </c>
    </row>
    <row r="147" spans="1:35" ht="15" customHeight="1" outlineLevel="1">
      <c r="A147" s="159">
        <v>3142</v>
      </c>
      <c r="B147" s="166" t="s">
        <v>617</v>
      </c>
      <c r="C147" s="133"/>
      <c r="D147" s="133"/>
      <c r="E147" s="133"/>
      <c r="F147" s="133"/>
      <c r="G147" s="102"/>
      <c r="H147" s="133"/>
      <c r="I147" s="133"/>
      <c r="J147" s="133"/>
      <c r="K147" s="133"/>
      <c r="L147" s="133"/>
      <c r="M147" s="133"/>
      <c r="N147" s="133">
        <v>440260614.05000001</v>
      </c>
      <c r="O147" s="134">
        <f>AU147</f>
        <v>0</v>
      </c>
      <c r="Q147" s="133">
        <v>106899638.41</v>
      </c>
      <c r="R147" s="133">
        <v>66531312.090000004</v>
      </c>
      <c r="S147" s="133">
        <f>113233774.81</f>
        <v>113233774.81</v>
      </c>
      <c r="T147" s="133">
        <v>154795143.69999999</v>
      </c>
      <c r="U147" s="133">
        <v>203814149.69999999</v>
      </c>
      <c r="V147" s="133">
        <v>251518493.78999999</v>
      </c>
      <c r="W147" s="133">
        <f>75842442.29</f>
        <v>75842442.290000007</v>
      </c>
      <c r="X147" s="133">
        <v>62489550.369999997</v>
      </c>
      <c r="Y147" s="133">
        <v>103816244.34999999</v>
      </c>
      <c r="Z147" s="133">
        <v>152636936.90000001</v>
      </c>
      <c r="AA147" s="133">
        <v>198425914.13</v>
      </c>
      <c r="AB147" s="135">
        <v>126933935.98</v>
      </c>
      <c r="AC147" s="161">
        <f>BI147</f>
        <v>0</v>
      </c>
      <c r="AF147" s="426">
        <f t="shared" si="60"/>
        <v>440260.61405000003</v>
      </c>
    </row>
    <row r="148" spans="1:35">
      <c r="A148" s="149"/>
      <c r="B148" s="150" t="s">
        <v>641</v>
      </c>
      <c r="C148" s="167">
        <f t="shared" ref="C148:O148" si="61">SUM(C112,C120,C126,C130,C139,C142)</f>
        <v>3298628923.6599998</v>
      </c>
      <c r="D148" s="167">
        <f t="shared" si="61"/>
        <v>2527102123.3400002</v>
      </c>
      <c r="E148" s="167">
        <f t="shared" si="61"/>
        <v>3073025218.27</v>
      </c>
      <c r="F148" s="167">
        <f t="shared" si="61"/>
        <v>11262045503.4</v>
      </c>
      <c r="G148" s="186">
        <f t="shared" si="61"/>
        <v>19114972048.139999</v>
      </c>
      <c r="H148" s="167">
        <f t="shared" si="61"/>
        <v>19165957384.209999</v>
      </c>
      <c r="I148" s="167">
        <f t="shared" si="61"/>
        <v>19151084675.619999</v>
      </c>
      <c r="J148" s="167">
        <f t="shared" si="61"/>
        <v>16769112850.219999</v>
      </c>
      <c r="K148" s="167">
        <v>14319373383.83</v>
      </c>
      <c r="L148" s="167">
        <v>12442871643.51</v>
      </c>
      <c r="M148" s="167">
        <v>19775775540.739998</v>
      </c>
      <c r="N148" s="167">
        <v>48272838744.280006</v>
      </c>
      <c r="O148" s="152">
        <f t="shared" si="61"/>
        <v>0</v>
      </c>
      <c r="Q148" s="167">
        <f t="shared" ref="Q148:AC148" si="62">SUM(Q112,Q120,Q126,Q130,Q139,Q142)</f>
        <v>3320303946.73</v>
      </c>
      <c r="R148" s="167">
        <f t="shared" si="62"/>
        <v>2325399047.3400002</v>
      </c>
      <c r="S148" s="167">
        <f t="shared" si="62"/>
        <v>3779376241.3899999</v>
      </c>
      <c r="T148" s="167">
        <f t="shared" si="62"/>
        <v>8970854991.9799995</v>
      </c>
      <c r="U148" s="167">
        <f t="shared" si="62"/>
        <v>9462555422.4300003</v>
      </c>
      <c r="V148" s="167">
        <f t="shared" si="62"/>
        <v>11048385131.49</v>
      </c>
      <c r="W148" s="186">
        <f t="shared" si="62"/>
        <v>10493964745.369999</v>
      </c>
      <c r="X148" s="186">
        <f t="shared" si="62"/>
        <v>10046543171.18</v>
      </c>
      <c r="Y148" s="167">
        <f t="shared" si="62"/>
        <v>9617805689.7799988</v>
      </c>
      <c r="Z148" s="167">
        <f t="shared" si="62"/>
        <v>9250964467.2800007</v>
      </c>
      <c r="AA148" s="167">
        <f t="shared" si="62"/>
        <v>9234704294.1900005</v>
      </c>
      <c r="AB148" s="168">
        <v>38374391466.529999</v>
      </c>
      <c r="AC148" s="169">
        <f t="shared" si="62"/>
        <v>0</v>
      </c>
      <c r="AF148" s="426">
        <f t="shared" si="60"/>
        <v>48272838.744280003</v>
      </c>
    </row>
    <row r="149" spans="1:35">
      <c r="A149" s="131"/>
      <c r="B149" s="154"/>
      <c r="C149" s="133"/>
      <c r="D149" s="133">
        <f>2527102123.34-D148</f>
        <v>0</v>
      </c>
      <c r="E149" s="133"/>
      <c r="F149" s="133"/>
      <c r="G149" s="137"/>
      <c r="H149" s="133"/>
      <c r="I149" s="133"/>
      <c r="J149" s="133"/>
      <c r="K149" s="133"/>
      <c r="L149" s="133"/>
      <c r="M149" s="133">
        <v>0</v>
      </c>
      <c r="N149" s="133"/>
      <c r="O149" s="134"/>
      <c r="Q149" s="133"/>
      <c r="R149" s="133"/>
      <c r="S149" s="133"/>
      <c r="T149" s="133"/>
      <c r="U149" s="133"/>
      <c r="V149" s="133"/>
      <c r="W149" s="137"/>
      <c r="X149" s="137"/>
      <c r="Y149" s="133"/>
      <c r="Z149" s="133"/>
      <c r="AA149" s="133"/>
      <c r="AB149" s="135"/>
      <c r="AC149" s="161"/>
      <c r="AF149" s="426">
        <f t="shared" si="60"/>
        <v>0</v>
      </c>
    </row>
    <row r="150" spans="1:35">
      <c r="A150" s="149"/>
      <c r="B150" s="121" t="s">
        <v>642</v>
      </c>
      <c r="C150" s="155"/>
      <c r="D150" s="155"/>
      <c r="E150" s="155"/>
      <c r="F150" s="155"/>
      <c r="G150" s="156"/>
      <c r="H150" s="155"/>
      <c r="I150" s="155"/>
      <c r="J150" s="155"/>
      <c r="K150" s="155"/>
      <c r="L150" s="155"/>
      <c r="M150" s="155"/>
      <c r="N150" s="155"/>
      <c r="O150" s="157"/>
      <c r="Q150" s="155"/>
      <c r="R150" s="155"/>
      <c r="S150" s="155"/>
      <c r="T150" s="155"/>
      <c r="U150" s="155"/>
      <c r="V150" s="155"/>
      <c r="W150" s="156"/>
      <c r="X150" s="156"/>
      <c r="Y150" s="155"/>
      <c r="Z150" s="155"/>
      <c r="AA150" s="155"/>
      <c r="AB150" s="158"/>
      <c r="AC150" s="177"/>
      <c r="AF150" s="426">
        <f t="shared" si="60"/>
        <v>0</v>
      </c>
    </row>
    <row r="151" spans="1:35">
      <c r="A151" s="131"/>
      <c r="B151" s="127" t="s">
        <v>35</v>
      </c>
      <c r="C151" s="133">
        <f>SUM(C152:C153)</f>
        <v>29308050000</v>
      </c>
      <c r="D151" s="133">
        <f>SUM(D152:D153)</f>
        <v>29468975000</v>
      </c>
      <c r="E151" s="133">
        <f>SUM(E152:E153)</f>
        <v>29456350000</v>
      </c>
      <c r="F151" s="133">
        <f t="shared" ref="F151:O151" si="63">SUM(F152:F153)</f>
        <v>29492350000</v>
      </c>
      <c r="G151" s="137">
        <f t="shared" si="63"/>
        <v>31546625000</v>
      </c>
      <c r="H151" s="133">
        <f t="shared" si="63"/>
        <v>31564600000</v>
      </c>
      <c r="I151" s="133">
        <f t="shared" si="63"/>
        <v>29337500000</v>
      </c>
      <c r="J151" s="133">
        <f t="shared" si="63"/>
        <v>29263787500</v>
      </c>
      <c r="K151" s="133">
        <v>29300675000</v>
      </c>
      <c r="L151" s="133">
        <v>29326500000</v>
      </c>
      <c r="M151" s="133">
        <v>20868962500</v>
      </c>
      <c r="N151" s="133">
        <v>30202780000</v>
      </c>
      <c r="O151" s="134">
        <f t="shared" si="63"/>
        <v>0</v>
      </c>
      <c r="Q151" s="133">
        <f>SUM(Q152:Q153)</f>
        <v>25830256250</v>
      </c>
      <c r="R151" s="133">
        <f>SUM(R152:R153)</f>
        <v>25867985625</v>
      </c>
      <c r="S151" s="133">
        <f t="shared" ref="S151:AC151" si="64">SUM(S152:S153)</f>
        <v>25214920346.839996</v>
      </c>
      <c r="T151" s="133">
        <f t="shared" si="64"/>
        <v>25311190971.839996</v>
      </c>
      <c r="U151" s="133">
        <f t="shared" si="64"/>
        <v>25350637221.839996</v>
      </c>
      <c r="V151" s="133">
        <f t="shared" si="64"/>
        <v>23828486596.839996</v>
      </c>
      <c r="W151" s="137">
        <f t="shared" si="64"/>
        <v>23061080346.839996</v>
      </c>
      <c r="X151" s="137">
        <f t="shared" si="64"/>
        <v>23351655346.839996</v>
      </c>
      <c r="Y151" s="133">
        <f t="shared" si="64"/>
        <v>23425405346.839996</v>
      </c>
      <c r="Z151" s="133">
        <f t="shared" si="64"/>
        <v>28606780346.839996</v>
      </c>
      <c r="AA151" s="133">
        <f t="shared" si="64"/>
        <v>28663480346.84</v>
      </c>
      <c r="AB151" s="135">
        <v>11836840000</v>
      </c>
      <c r="AC151" s="161">
        <f t="shared" si="64"/>
        <v>0</v>
      </c>
      <c r="AF151" s="426">
        <f t="shared" si="60"/>
        <v>30202780</v>
      </c>
    </row>
    <row r="152" spans="1:35" ht="15" customHeight="1" outlineLevel="1">
      <c r="A152" s="131">
        <v>3301</v>
      </c>
      <c r="B152" s="132" t="s">
        <v>35</v>
      </c>
      <c r="C152" s="133">
        <v>29308050000</v>
      </c>
      <c r="D152" s="133">
        <v>29468975000</v>
      </c>
      <c r="E152" s="133">
        <v>29456350000</v>
      </c>
      <c r="F152" s="133">
        <v>29492350000</v>
      </c>
      <c r="G152" s="102">
        <v>31546625000</v>
      </c>
      <c r="H152" s="133">
        <v>31564600000</v>
      </c>
      <c r="I152" s="133">
        <v>29337500000</v>
      </c>
      <c r="J152" s="133">
        <v>29263787500</v>
      </c>
      <c r="K152" s="133">
        <v>29300675000</v>
      </c>
      <c r="L152" s="133">
        <v>29326500000</v>
      </c>
      <c r="M152" s="133">
        <v>20868962500</v>
      </c>
      <c r="N152" s="133">
        <v>30202780000</v>
      </c>
      <c r="O152" s="134">
        <f>AU152</f>
        <v>0</v>
      </c>
      <c r="Q152" s="133">
        <v>25830256250</v>
      </c>
      <c r="R152" s="133">
        <v>25867985625</v>
      </c>
      <c r="S152" s="133">
        <f>5905715000+16770510998.56+2538694348.28</f>
        <v>25214920346.839996</v>
      </c>
      <c r="T152" s="133">
        <f>6001985625+16770510998.56+2538694348.28</f>
        <v>25311190971.839996</v>
      </c>
      <c r="U152" s="133">
        <f>6041431875+16770510998.56+2538694348.28</f>
        <v>25350637221.839996</v>
      </c>
      <c r="V152" s="133">
        <f>3125000*1446.17+16770510998.56+2538694348.28</f>
        <v>23828486596.839996</v>
      </c>
      <c r="W152" s="133">
        <f>2500000*1500.75+16770510998.56+2538694348.28</f>
        <v>23061080346.839996</v>
      </c>
      <c r="X152" s="133">
        <f>2500000*1616.98+16770510998.56+2538694348.28</f>
        <v>23351655346.839996</v>
      </c>
      <c r="Y152" s="133">
        <f>2500000*1646.48+16770510998.56+2538694348.28</f>
        <v>23425405346.839996</v>
      </c>
      <c r="Z152" s="133">
        <f>2500000*1719.03+16770510998.56+2538694348.28+5000000000</f>
        <v>28606780346.839996</v>
      </c>
      <c r="AA152" s="133">
        <f>4354275000+21770510998.56+2538694348.28</f>
        <v>28663480346.84</v>
      </c>
      <c r="AB152" s="135">
        <v>11836840000</v>
      </c>
      <c r="AC152" s="161">
        <f>BI152</f>
        <v>0</v>
      </c>
      <c r="AF152" s="426">
        <f t="shared" si="60"/>
        <v>30202780</v>
      </c>
    </row>
    <row r="153" spans="1:35" ht="15" customHeight="1" outlineLevel="1">
      <c r="A153" s="131">
        <v>3302</v>
      </c>
      <c r="B153" s="132" t="s">
        <v>643</v>
      </c>
      <c r="C153" s="133"/>
      <c r="D153" s="133"/>
      <c r="E153" s="133"/>
      <c r="F153" s="133"/>
      <c r="G153" s="102"/>
      <c r="H153" s="133"/>
      <c r="I153" s="133"/>
      <c r="J153" s="133"/>
      <c r="K153" s="133"/>
      <c r="L153" s="133"/>
      <c r="M153" s="133"/>
      <c r="N153" s="133"/>
      <c r="O153" s="134">
        <f>AU153</f>
        <v>0</v>
      </c>
      <c r="Q153" s="133"/>
      <c r="R153" s="178"/>
      <c r="S153" s="133"/>
      <c r="T153" s="133"/>
      <c r="U153" s="133"/>
      <c r="V153" s="133"/>
      <c r="W153" s="137"/>
      <c r="X153" s="137"/>
      <c r="Y153" s="133"/>
      <c r="Z153" s="133"/>
      <c r="AA153" s="133"/>
      <c r="AB153" s="135"/>
      <c r="AC153" s="161">
        <f>BI153</f>
        <v>0</v>
      </c>
      <c r="AF153" s="426">
        <f t="shared" si="60"/>
        <v>0</v>
      </c>
    </row>
    <row r="154" spans="1:35">
      <c r="A154" s="159"/>
      <c r="B154" s="164" t="s">
        <v>644</v>
      </c>
      <c r="C154" s="133">
        <f>SUM(C155:C157)</f>
        <v>4052947200</v>
      </c>
      <c r="D154" s="133">
        <f>SUM(D155:D157)</f>
        <v>4209571200</v>
      </c>
      <c r="E154" s="133">
        <f>SUM(E155:E157)</f>
        <v>4204752000</v>
      </c>
      <c r="F154" s="133">
        <f>SUM(F155:F157)</f>
        <v>4219209600</v>
      </c>
      <c r="G154" s="137">
        <f t="shared" ref="G154:O154" si="65">SUM(G155:G157)</f>
        <v>4310774400</v>
      </c>
      <c r="H154" s="133">
        <f t="shared" si="65"/>
        <v>4337280000</v>
      </c>
      <c r="I154" s="133">
        <f t="shared" si="65"/>
        <v>4409568000</v>
      </c>
      <c r="J154" s="133">
        <f t="shared" si="65"/>
        <v>4202342400</v>
      </c>
      <c r="K154" s="133">
        <v>4045718400</v>
      </c>
      <c r="L154" s="133">
        <v>4108368000</v>
      </c>
      <c r="M154" s="133">
        <v>161582400</v>
      </c>
      <c r="N154" s="133">
        <v>0</v>
      </c>
      <c r="O154" s="142">
        <f t="shared" si="65"/>
        <v>0</v>
      </c>
      <c r="Q154" s="133">
        <f>SUM(Q155:Q157)</f>
        <v>0</v>
      </c>
      <c r="R154" s="133">
        <f>SUM(R155:R157)</f>
        <v>0</v>
      </c>
      <c r="S154" s="133">
        <f t="shared" ref="S154:AC154" si="66">SUM(S155:S157)</f>
        <v>0</v>
      </c>
      <c r="T154" s="133">
        <f t="shared" si="66"/>
        <v>0</v>
      </c>
      <c r="U154" s="133">
        <f t="shared" si="66"/>
        <v>0</v>
      </c>
      <c r="V154" s="133">
        <f t="shared" si="66"/>
        <v>0</v>
      </c>
      <c r="W154" s="137">
        <f t="shared" si="66"/>
        <v>0</v>
      </c>
      <c r="X154" s="137">
        <f t="shared" si="66"/>
        <v>0</v>
      </c>
      <c r="Y154" s="133">
        <f t="shared" si="66"/>
        <v>0</v>
      </c>
      <c r="Z154" s="133">
        <f t="shared" si="66"/>
        <v>0</v>
      </c>
      <c r="AA154" s="133">
        <f t="shared" si="66"/>
        <v>0</v>
      </c>
      <c r="AB154" s="135">
        <v>63993260.93</v>
      </c>
      <c r="AC154" s="165">
        <f t="shared" si="66"/>
        <v>0</v>
      </c>
      <c r="AF154" s="426">
        <f t="shared" si="60"/>
        <v>0</v>
      </c>
    </row>
    <row r="155" spans="1:35" ht="15" customHeight="1" outlineLevel="1">
      <c r="A155" s="159">
        <v>3401</v>
      </c>
      <c r="B155" s="166" t="s">
        <v>645</v>
      </c>
      <c r="C155" s="133">
        <v>4052947200</v>
      </c>
      <c r="D155" s="133">
        <v>4209571200</v>
      </c>
      <c r="E155" s="133">
        <v>4204752000</v>
      </c>
      <c r="F155" s="133">
        <v>4219209600</v>
      </c>
      <c r="G155" s="102">
        <v>4310774400</v>
      </c>
      <c r="H155" s="133">
        <v>4337280000</v>
      </c>
      <c r="I155" s="133">
        <v>4409568000</v>
      </c>
      <c r="J155" s="133">
        <v>4202342400</v>
      </c>
      <c r="K155" s="133">
        <v>4045718400</v>
      </c>
      <c r="L155" s="133">
        <v>4108368000</v>
      </c>
      <c r="M155" s="133">
        <v>161582400</v>
      </c>
      <c r="N155" s="133"/>
      <c r="O155" s="134">
        <f>AU155</f>
        <v>0</v>
      </c>
      <c r="Q155" s="133"/>
      <c r="R155" s="133"/>
      <c r="S155" s="133"/>
      <c r="T155" s="133"/>
      <c r="U155" s="133"/>
      <c r="V155" s="133"/>
      <c r="W155" s="137"/>
      <c r="X155" s="137"/>
      <c r="Y155" s="133"/>
      <c r="Z155" s="133"/>
      <c r="AA155" s="133"/>
      <c r="AB155" s="135"/>
      <c r="AC155" s="161">
        <f>BI155</f>
        <v>0</v>
      </c>
      <c r="AF155" s="426">
        <f t="shared" si="60"/>
        <v>0</v>
      </c>
    </row>
    <row r="156" spans="1:35" ht="15" customHeight="1" outlineLevel="1">
      <c r="A156" s="159">
        <v>3402</v>
      </c>
      <c r="B156" s="132" t="s">
        <v>646</v>
      </c>
      <c r="C156" s="133"/>
      <c r="D156" s="133"/>
      <c r="E156" s="133"/>
      <c r="F156" s="133"/>
      <c r="G156" s="102"/>
      <c r="H156" s="133"/>
      <c r="I156" s="133"/>
      <c r="J156" s="133"/>
      <c r="K156" s="133"/>
      <c r="L156" s="133"/>
      <c r="M156" s="133"/>
      <c r="N156" s="133"/>
      <c r="O156" s="134">
        <f>AU156</f>
        <v>0</v>
      </c>
      <c r="Q156" s="133"/>
      <c r="R156" s="133"/>
      <c r="S156" s="133"/>
      <c r="T156" s="133"/>
      <c r="U156" s="133"/>
      <c r="V156" s="133"/>
      <c r="W156" s="137"/>
      <c r="X156" s="137"/>
      <c r="Y156" s="133"/>
      <c r="Z156" s="133"/>
      <c r="AA156" s="133"/>
      <c r="AB156" s="135"/>
      <c r="AC156" s="161">
        <f>BI156</f>
        <v>0</v>
      </c>
      <c r="AF156" s="426">
        <f t="shared" si="60"/>
        <v>0</v>
      </c>
    </row>
    <row r="157" spans="1:35" ht="15" customHeight="1" outlineLevel="1">
      <c r="A157" s="159">
        <v>3403</v>
      </c>
      <c r="B157" s="132" t="s">
        <v>647</v>
      </c>
      <c r="C157" s="133"/>
      <c r="D157" s="133"/>
      <c r="E157" s="133"/>
      <c r="F157" s="133"/>
      <c r="G157" s="102"/>
      <c r="H157" s="133"/>
      <c r="I157" s="133"/>
      <c r="J157" s="133"/>
      <c r="K157" s="133"/>
      <c r="L157" s="133"/>
      <c r="M157" s="133"/>
      <c r="N157" s="133"/>
      <c r="O157" s="134">
        <f>AU157</f>
        <v>0</v>
      </c>
      <c r="Q157" s="133"/>
      <c r="R157" s="133"/>
      <c r="S157" s="133"/>
      <c r="T157" s="133"/>
      <c r="U157" s="133"/>
      <c r="V157" s="133"/>
      <c r="W157" s="137"/>
      <c r="X157" s="137"/>
      <c r="Y157" s="133"/>
      <c r="Z157" s="133"/>
      <c r="AA157" s="133"/>
      <c r="AB157" s="135">
        <v>63993260.93</v>
      </c>
      <c r="AC157" s="161">
        <f>BI157</f>
        <v>0</v>
      </c>
      <c r="AF157" s="426">
        <f t="shared" si="60"/>
        <v>0</v>
      </c>
    </row>
    <row r="158" spans="1:35">
      <c r="A158" s="149"/>
      <c r="B158" s="150" t="s">
        <v>648</v>
      </c>
      <c r="C158" s="167">
        <f t="shared" ref="C158:J158" si="67">SUM(C151,C154)</f>
        <v>33360997200</v>
      </c>
      <c r="D158" s="167">
        <f t="shared" si="67"/>
        <v>33678546200</v>
      </c>
      <c r="E158" s="167">
        <f t="shared" si="67"/>
        <v>33661102000</v>
      </c>
      <c r="F158" s="167">
        <f t="shared" si="67"/>
        <v>33711559600</v>
      </c>
      <c r="G158" s="186">
        <f t="shared" si="67"/>
        <v>35857399400</v>
      </c>
      <c r="H158" s="167">
        <f t="shared" si="67"/>
        <v>35901880000</v>
      </c>
      <c r="I158" s="167">
        <f t="shared" si="67"/>
        <v>33747068000</v>
      </c>
      <c r="J158" s="167">
        <f t="shared" si="67"/>
        <v>33466129900</v>
      </c>
      <c r="K158" s="167">
        <v>33346393400</v>
      </c>
      <c r="L158" s="167">
        <v>33434868000</v>
      </c>
      <c r="M158" s="167">
        <v>21030544900</v>
      </c>
      <c r="N158" s="167">
        <v>30202780000</v>
      </c>
      <c r="O158" s="152">
        <f>SUM(O151,O154)</f>
        <v>0</v>
      </c>
      <c r="Q158" s="167">
        <f>SUM(Q151,Q154)</f>
        <v>25830256250</v>
      </c>
      <c r="R158" s="167">
        <f>SUM(R151,R154)</f>
        <v>25867985625</v>
      </c>
      <c r="S158" s="167">
        <f t="shared" ref="S158:AC158" si="68">SUM(S151,S154)</f>
        <v>25214920346.839996</v>
      </c>
      <c r="T158" s="167">
        <f t="shared" si="68"/>
        <v>25311190971.839996</v>
      </c>
      <c r="U158" s="167">
        <f t="shared" si="68"/>
        <v>25350637221.839996</v>
      </c>
      <c r="V158" s="167">
        <f t="shared" si="68"/>
        <v>23828486596.839996</v>
      </c>
      <c r="W158" s="186">
        <f t="shared" si="68"/>
        <v>23061080346.839996</v>
      </c>
      <c r="X158" s="186">
        <f t="shared" si="68"/>
        <v>23351655346.839996</v>
      </c>
      <c r="Y158" s="167">
        <f t="shared" si="68"/>
        <v>23425405346.839996</v>
      </c>
      <c r="Z158" s="167">
        <f t="shared" si="68"/>
        <v>28606780346.839996</v>
      </c>
      <c r="AA158" s="167">
        <f t="shared" si="68"/>
        <v>28663480346.84</v>
      </c>
      <c r="AB158" s="168">
        <v>11900833260.93</v>
      </c>
      <c r="AC158" s="169">
        <f t="shared" si="68"/>
        <v>0</v>
      </c>
      <c r="AF158" s="426">
        <f t="shared" si="60"/>
        <v>30202780</v>
      </c>
    </row>
    <row r="159" spans="1:35">
      <c r="A159" s="131"/>
      <c r="B159" s="154">
        <v>0</v>
      </c>
      <c r="C159" s="133"/>
      <c r="D159" s="133">
        <f>33678546200-D158</f>
        <v>0</v>
      </c>
      <c r="E159" s="133"/>
      <c r="F159" s="133"/>
      <c r="G159" s="137"/>
      <c r="H159" s="133"/>
      <c r="I159" s="133"/>
      <c r="J159" s="133"/>
      <c r="K159" s="133"/>
      <c r="L159" s="133"/>
      <c r="M159" s="133"/>
      <c r="N159" s="133"/>
      <c r="O159" s="134"/>
      <c r="Q159" s="133"/>
      <c r="R159" s="133"/>
      <c r="S159" s="133"/>
      <c r="T159" s="133"/>
      <c r="U159" s="133"/>
      <c r="V159" s="133"/>
      <c r="W159" s="137"/>
      <c r="X159" s="137"/>
      <c r="Y159" s="133"/>
      <c r="Z159" s="133"/>
      <c r="AA159" s="133"/>
      <c r="AB159" s="135"/>
      <c r="AC159" s="161"/>
      <c r="AF159" s="426">
        <f t="shared" si="60"/>
        <v>0</v>
      </c>
    </row>
    <row r="160" spans="1:35">
      <c r="A160" s="149"/>
      <c r="B160" s="121" t="s">
        <v>649</v>
      </c>
      <c r="C160" s="167">
        <f t="shared" ref="C160:J160" si="69">SUM(C148,C158)</f>
        <v>36659626123.660004</v>
      </c>
      <c r="D160" s="167">
        <f t="shared" si="69"/>
        <v>36205648323.339996</v>
      </c>
      <c r="E160" s="167">
        <f t="shared" si="69"/>
        <v>36734127218.269997</v>
      </c>
      <c r="F160" s="167">
        <f t="shared" si="69"/>
        <v>44973605103.400002</v>
      </c>
      <c r="G160" s="186">
        <f t="shared" si="69"/>
        <v>54972371448.139999</v>
      </c>
      <c r="H160" s="167">
        <f t="shared" si="69"/>
        <v>55067837384.209999</v>
      </c>
      <c r="I160" s="167">
        <f t="shared" si="69"/>
        <v>52898152675.619995</v>
      </c>
      <c r="J160" s="167">
        <f t="shared" si="69"/>
        <v>50235242750.220001</v>
      </c>
      <c r="K160" s="167">
        <v>47665766783.830002</v>
      </c>
      <c r="L160" s="167">
        <v>45877739643.510002</v>
      </c>
      <c r="M160" s="167">
        <v>40806320440.739998</v>
      </c>
      <c r="N160" s="167">
        <v>78475618744.279999</v>
      </c>
      <c r="O160" s="152">
        <f>SUM(O148,O158)</f>
        <v>0</v>
      </c>
      <c r="Q160" s="167">
        <f>SUM(Q148,Q158)</f>
        <v>29150560196.73</v>
      </c>
      <c r="R160" s="167">
        <f>SUM(R148,R158)</f>
        <v>28193384672.34</v>
      </c>
      <c r="S160" s="167">
        <f t="shared" ref="S160:AC160" si="70">SUM(S148,S158)</f>
        <v>28994296588.229996</v>
      </c>
      <c r="T160" s="167">
        <f t="shared" si="70"/>
        <v>34282045963.819996</v>
      </c>
      <c r="U160" s="167">
        <f t="shared" si="70"/>
        <v>34813192644.269997</v>
      </c>
      <c r="V160" s="167">
        <f t="shared" si="70"/>
        <v>34876871728.329994</v>
      </c>
      <c r="W160" s="186">
        <f t="shared" si="70"/>
        <v>33555045092.209995</v>
      </c>
      <c r="X160" s="167">
        <f t="shared" si="70"/>
        <v>33398198518.019997</v>
      </c>
      <c r="Y160" s="167">
        <f t="shared" si="70"/>
        <v>33043211036.619995</v>
      </c>
      <c r="Z160" s="167">
        <f t="shared" si="70"/>
        <v>37857744814.119995</v>
      </c>
      <c r="AA160" s="167">
        <f t="shared" si="70"/>
        <v>37898184641.029999</v>
      </c>
      <c r="AB160" s="168">
        <v>50275224727.459999</v>
      </c>
      <c r="AC160" s="169">
        <f t="shared" si="70"/>
        <v>0</v>
      </c>
      <c r="AE160" s="139"/>
      <c r="AF160" s="426">
        <f t="shared" si="60"/>
        <v>78475618.744279996</v>
      </c>
      <c r="AH160" s="427">
        <v>46077831.200000003</v>
      </c>
      <c r="AI160" s="427">
        <f>+AF160-AH160</f>
        <v>32397787.544279993</v>
      </c>
    </row>
    <row r="161" spans="1:35">
      <c r="A161" s="131"/>
      <c r="B161" s="154">
        <v>0</v>
      </c>
      <c r="C161" s="133"/>
      <c r="D161" s="133">
        <f>36205648323.34-D160</f>
        <v>0</v>
      </c>
      <c r="E161" s="133"/>
      <c r="F161" s="133">
        <f>44974235103.4-F160-630000</f>
        <v>0</v>
      </c>
      <c r="G161" s="133">
        <f>54972371448.14-G160</f>
        <v>0</v>
      </c>
      <c r="H161" s="133"/>
      <c r="I161" s="133"/>
      <c r="J161" s="133"/>
      <c r="K161" s="133"/>
      <c r="L161" s="133"/>
      <c r="M161" s="133"/>
      <c r="N161" s="133"/>
      <c r="O161" s="134"/>
      <c r="Q161" s="133"/>
      <c r="R161" s="133"/>
      <c r="S161" s="133">
        <f>+S160-28994296588.23</f>
        <v>0</v>
      </c>
      <c r="T161" s="133"/>
      <c r="U161" s="133">
        <f>+U160-34813192644.27</f>
        <v>0</v>
      </c>
      <c r="V161" s="133"/>
      <c r="W161" s="137"/>
      <c r="X161" s="137"/>
      <c r="Y161" s="133"/>
      <c r="Z161" s="133"/>
      <c r="AA161" s="133"/>
      <c r="AB161" s="135"/>
      <c r="AC161" s="161"/>
      <c r="AF161" s="426">
        <f t="shared" si="60"/>
        <v>0</v>
      </c>
      <c r="AH161" s="427"/>
      <c r="AI161" s="427"/>
    </row>
    <row r="162" spans="1:35">
      <c r="A162" s="149"/>
      <c r="B162" s="121" t="s">
        <v>650</v>
      </c>
      <c r="C162" s="155"/>
      <c r="D162" s="155"/>
      <c r="E162" s="155"/>
      <c r="F162" s="155"/>
      <c r="G162" s="102"/>
      <c r="H162" s="155"/>
      <c r="I162" s="155"/>
      <c r="J162" s="155"/>
      <c r="K162" s="155"/>
      <c r="L162" s="155"/>
      <c r="M162" s="155"/>
      <c r="N162" s="155"/>
      <c r="O162" s="157"/>
      <c r="Q162" s="155"/>
      <c r="R162" s="155"/>
      <c r="S162" s="155"/>
      <c r="T162" s="155"/>
      <c r="U162" s="155"/>
      <c r="V162" s="155"/>
      <c r="W162" s="156"/>
      <c r="X162" s="156"/>
      <c r="Y162" s="155"/>
      <c r="Z162" s="155"/>
      <c r="AA162" s="155"/>
      <c r="AB162" s="158"/>
      <c r="AC162" s="177"/>
      <c r="AF162" s="426">
        <f t="shared" si="60"/>
        <v>0</v>
      </c>
      <c r="AH162" s="427"/>
      <c r="AI162" s="427"/>
    </row>
    <row r="163" spans="1:35" ht="15" customHeight="1" outlineLevel="1">
      <c r="A163" s="138">
        <v>4101</v>
      </c>
      <c r="B163" s="127" t="s">
        <v>651</v>
      </c>
      <c r="C163" s="133">
        <f>780112500</f>
        <v>780112500</v>
      </c>
      <c r="D163" s="133">
        <v>780112500</v>
      </c>
      <c r="E163" s="133">
        <v>780112500</v>
      </c>
      <c r="F163" s="133">
        <v>780112500</v>
      </c>
      <c r="G163" s="102">
        <v>780112500</v>
      </c>
      <c r="H163" s="133">
        <f>780112500</f>
        <v>780112500</v>
      </c>
      <c r="I163" s="133">
        <v>780112500</v>
      </c>
      <c r="J163" s="133">
        <v>780112500</v>
      </c>
      <c r="K163" s="133">
        <v>780112500</v>
      </c>
      <c r="L163" s="133">
        <v>780112500</v>
      </c>
      <c r="M163" s="133">
        <v>780112500</v>
      </c>
      <c r="N163" s="133">
        <v>780112500</v>
      </c>
      <c r="O163" s="134">
        <f t="shared" ref="O163:O170" si="71">AU163</f>
        <v>0</v>
      </c>
      <c r="Q163" s="133">
        <f>780112500</f>
        <v>780112500</v>
      </c>
      <c r="R163" s="133">
        <f>780112500</f>
        <v>780112500</v>
      </c>
      <c r="S163" s="133">
        <f>780112500</f>
        <v>780112500</v>
      </c>
      <c r="T163" s="133">
        <f>780112500</f>
        <v>780112500</v>
      </c>
      <c r="U163" s="133">
        <v>780112500</v>
      </c>
      <c r="V163" s="133">
        <v>780112500</v>
      </c>
      <c r="W163" s="133">
        <v>780112500</v>
      </c>
      <c r="X163" s="133">
        <v>780112500</v>
      </c>
      <c r="Y163" s="133">
        <v>780112500</v>
      </c>
      <c r="Z163" s="133">
        <v>780112500</v>
      </c>
      <c r="AA163" s="133">
        <f>+Z163</f>
        <v>780112500</v>
      </c>
      <c r="AB163" s="135">
        <v>780112500</v>
      </c>
      <c r="AC163" s="161">
        <f t="shared" ref="AC163:AC170" si="72">BI163</f>
        <v>0</v>
      </c>
      <c r="AF163" s="426">
        <f t="shared" si="60"/>
        <v>780112.5</v>
      </c>
    </row>
    <row r="164" spans="1:35" ht="15" customHeight="1" outlineLevel="1">
      <c r="A164" s="138">
        <v>4102</v>
      </c>
      <c r="B164" s="127" t="s">
        <v>343</v>
      </c>
      <c r="C164" s="133"/>
      <c r="D164" s="133"/>
      <c r="E164" s="133"/>
      <c r="F164" s="133"/>
      <c r="G164" s="102"/>
      <c r="H164" s="133"/>
      <c r="I164" s="133"/>
      <c r="J164" s="133"/>
      <c r="K164" s="133"/>
      <c r="L164" s="133"/>
      <c r="M164" s="133"/>
      <c r="N164" s="133"/>
      <c r="O164" s="134">
        <f t="shared" si="71"/>
        <v>0</v>
      </c>
      <c r="Q164" s="133"/>
      <c r="R164" s="133"/>
      <c r="S164" s="133"/>
      <c r="T164" s="133"/>
      <c r="U164" s="133"/>
      <c r="V164" s="133"/>
      <c r="W164" s="137"/>
      <c r="X164" s="137"/>
      <c r="Y164" s="133"/>
      <c r="Z164" s="133"/>
      <c r="AA164" s="133"/>
      <c r="AB164" s="135"/>
      <c r="AC164" s="161">
        <f t="shared" si="72"/>
        <v>0</v>
      </c>
      <c r="AF164" s="426">
        <f t="shared" si="60"/>
        <v>0</v>
      </c>
    </row>
    <row r="165" spans="1:35" ht="15" customHeight="1" outlineLevel="1">
      <c r="A165" s="138">
        <v>4103</v>
      </c>
      <c r="B165" s="127" t="s">
        <v>50</v>
      </c>
      <c r="C165" s="133"/>
      <c r="D165" s="133"/>
      <c r="E165" s="133"/>
      <c r="F165" s="133"/>
      <c r="G165" s="102"/>
      <c r="H165" s="133"/>
      <c r="I165" s="133"/>
      <c r="J165" s="133"/>
      <c r="K165" s="133"/>
      <c r="L165" s="133"/>
      <c r="M165" s="133"/>
      <c r="N165" s="133"/>
      <c r="O165" s="134">
        <f t="shared" si="71"/>
        <v>0</v>
      </c>
      <c r="Q165" s="133"/>
      <c r="R165" s="133"/>
      <c r="S165" s="133"/>
      <c r="T165" s="133"/>
      <c r="U165" s="133"/>
      <c r="V165" s="133"/>
      <c r="W165" s="137"/>
      <c r="X165" s="137"/>
      <c r="Y165" s="133"/>
      <c r="Z165" s="133"/>
      <c r="AA165" s="133"/>
      <c r="AB165" s="135"/>
      <c r="AC165" s="161">
        <f t="shared" si="72"/>
        <v>0</v>
      </c>
      <c r="AF165" s="426">
        <f t="shared" si="60"/>
        <v>0</v>
      </c>
    </row>
    <row r="166" spans="1:35" ht="15" customHeight="1" outlineLevel="1">
      <c r="A166" s="138">
        <v>4104</v>
      </c>
      <c r="B166" s="127" t="s">
        <v>48</v>
      </c>
      <c r="C166" s="133"/>
      <c r="D166" s="133"/>
      <c r="E166" s="133"/>
      <c r="F166" s="133"/>
      <c r="G166" s="102"/>
      <c r="H166" s="133"/>
      <c r="I166" s="133"/>
      <c r="J166" s="133"/>
      <c r="K166" s="133"/>
      <c r="L166" s="133"/>
      <c r="M166" s="133"/>
      <c r="N166" s="133"/>
      <c r="O166" s="134">
        <f t="shared" si="71"/>
        <v>0</v>
      </c>
      <c r="Q166" s="133"/>
      <c r="R166" s="133"/>
      <c r="S166" s="133"/>
      <c r="T166" s="133"/>
      <c r="U166" s="133"/>
      <c r="V166" s="133"/>
      <c r="W166" s="137"/>
      <c r="X166" s="137"/>
      <c r="Y166" s="133"/>
      <c r="Z166" s="133"/>
      <c r="AA166" s="133"/>
      <c r="AB166" s="135"/>
      <c r="AC166" s="161">
        <f t="shared" si="72"/>
        <v>0</v>
      </c>
      <c r="AF166" s="426">
        <f t="shared" si="60"/>
        <v>0</v>
      </c>
    </row>
    <row r="167" spans="1:35" ht="15" customHeight="1" outlineLevel="1">
      <c r="A167" s="138">
        <v>4105</v>
      </c>
      <c r="B167" s="127" t="s">
        <v>652</v>
      </c>
      <c r="C167" s="133">
        <f>+[1]IS!C97</f>
        <v>1163657059.6100004</v>
      </c>
      <c r="D167" s="133">
        <v>1533632612.8600006</v>
      </c>
      <c r="E167" s="133">
        <v>2172558485.1400008</v>
      </c>
      <c r="F167" s="133">
        <v>2032638584.000001</v>
      </c>
      <c r="G167" s="102">
        <v>1886766383.5900011</v>
      </c>
      <c r="H167" s="133">
        <v>2432276911.2100005</v>
      </c>
      <c r="I167" s="133">
        <f>3839318724.12+0.7</f>
        <v>3839318724.8199997</v>
      </c>
      <c r="J167" s="133">
        <v>5813226081.8999996</v>
      </c>
      <c r="K167" s="133">
        <v>7369176604.1099987</v>
      </c>
      <c r="L167" s="133">
        <v>9012833571.6800003</v>
      </c>
      <c r="M167" s="133">
        <v>10803432912.299999</v>
      </c>
      <c r="N167" s="133">
        <v>19222848874.799999</v>
      </c>
      <c r="O167" s="134">
        <f t="shared" si="71"/>
        <v>0</v>
      </c>
      <c r="Q167" s="133">
        <v>556114196</v>
      </c>
      <c r="R167" s="133">
        <v>804342622.32000005</v>
      </c>
      <c r="S167" s="133">
        <v>920419306.75999999</v>
      </c>
      <c r="T167" s="133">
        <v>822758086.15999997</v>
      </c>
      <c r="U167" s="133">
        <v>873939427.70000005</v>
      </c>
      <c r="V167" s="133">
        <v>769742751.47000003</v>
      </c>
      <c r="W167" s="133">
        <v>1024954898.53</v>
      </c>
      <c r="X167" s="133">
        <v>2031038966.46</v>
      </c>
      <c r="Y167" s="133">
        <v>2866584475.75</v>
      </c>
      <c r="Z167" s="133">
        <v>4384992788.0699997</v>
      </c>
      <c r="AA167" s="133">
        <v>5895782784.8999996</v>
      </c>
      <c r="AB167" s="135">
        <v>17017975312.390001</v>
      </c>
      <c r="AC167" s="161">
        <f t="shared" si="72"/>
        <v>0</v>
      </c>
      <c r="AE167" s="139"/>
      <c r="AF167" s="426">
        <f t="shared" si="60"/>
        <v>19222848.8748</v>
      </c>
    </row>
    <row r="168" spans="1:35" ht="15" customHeight="1" outlineLevel="1">
      <c r="A168" s="138">
        <v>4106</v>
      </c>
      <c r="B168" s="127" t="s">
        <v>653</v>
      </c>
      <c r="C168" s="133">
        <v>35190756746.449997</v>
      </c>
      <c r="D168" s="133">
        <v>35190756746.449997</v>
      </c>
      <c r="E168" s="133">
        <v>35190756746.449997</v>
      </c>
      <c r="F168" s="133">
        <v>35190756746.449997</v>
      </c>
      <c r="G168" s="102">
        <v>34176610496.449997</v>
      </c>
      <c r="H168" s="133">
        <f>+G168</f>
        <v>34176610496.449997</v>
      </c>
      <c r="I168" s="133">
        <v>34176610496.449997</v>
      </c>
      <c r="J168" s="133">
        <v>34176610496.449997</v>
      </c>
      <c r="K168" s="133">
        <v>34176610496.449997</v>
      </c>
      <c r="L168" s="133">
        <v>34176610496.449997</v>
      </c>
      <c r="M168" s="133">
        <v>34176610496.449997</v>
      </c>
      <c r="N168" s="133">
        <f>68689739914.31+798177666.57</f>
        <v>69487917580.880005</v>
      </c>
      <c r="O168" s="134">
        <f t="shared" si="71"/>
        <v>0</v>
      </c>
      <c r="Q168" s="133">
        <v>29063020152.970001</v>
      </c>
      <c r="R168" s="133">
        <v>29063020152.970001</v>
      </c>
      <c r="S168" s="133">
        <v>29063020152.970001</v>
      </c>
      <c r="T168" s="133">
        <v>28087879527.970001</v>
      </c>
      <c r="U168" s="133">
        <v>28087879527.970001</v>
      </c>
      <c r="V168" s="133">
        <v>28087879527.970001</v>
      </c>
      <c r="W168" s="133">
        <v>28087879527.970001</v>
      </c>
      <c r="X168" s="133">
        <v>28087879527.970001</v>
      </c>
      <c r="Y168" s="133">
        <v>28087879527.970001</v>
      </c>
      <c r="Z168" s="133">
        <v>28087879527.970001</v>
      </c>
      <c r="AA168" s="133">
        <f>+Z168</f>
        <v>28087879527.970001</v>
      </c>
      <c r="AB168" s="135">
        <v>54030167268.489998</v>
      </c>
      <c r="AC168" s="161">
        <f t="shared" si="72"/>
        <v>0</v>
      </c>
      <c r="AD168" s="89">
        <f>+balance!C65</f>
        <v>-21087268202.183891</v>
      </c>
      <c r="AE168" s="90">
        <f>+AB168+AB167</f>
        <v>71048142580.880005</v>
      </c>
      <c r="AF168" s="426">
        <f t="shared" si="60"/>
        <v>69487917.580880001</v>
      </c>
    </row>
    <row r="169" spans="1:35" ht="15" customHeight="1" outlineLevel="1">
      <c r="A169" s="138">
        <v>4107</v>
      </c>
      <c r="B169" s="127" t="s">
        <v>654</v>
      </c>
      <c r="C169" s="133">
        <v>7094926623.6499996</v>
      </c>
      <c r="D169" s="133">
        <v>7094926623.6499996</v>
      </c>
      <c r="E169" s="133">
        <v>7094926623.6499996</v>
      </c>
      <c r="F169" s="133">
        <v>7094926623.6499996</v>
      </c>
      <c r="G169" s="102">
        <v>7094926623.6499996</v>
      </c>
      <c r="H169" s="133">
        <f>7094926623.65</f>
        <v>7094926623.6499996</v>
      </c>
      <c r="I169" s="133">
        <v>7094926623.6499996</v>
      </c>
      <c r="J169" s="133">
        <v>7094926623.6499996</v>
      </c>
      <c r="K169" s="133">
        <v>7094926623.6499996</v>
      </c>
      <c r="L169" s="133">
        <v>7094926623.6499996</v>
      </c>
      <c r="M169" s="133">
        <v>7094926623.6499996</v>
      </c>
      <c r="N169" s="133">
        <f>15647697000-798177666.57</f>
        <v>14849519333.43</v>
      </c>
      <c r="O169" s="134">
        <f t="shared" si="71"/>
        <v>0</v>
      </c>
      <c r="Q169" s="133">
        <f t="shared" ref="Q169:Z169" si="73">7094926623.65</f>
        <v>7094926623.6499996</v>
      </c>
      <c r="R169" s="133">
        <f t="shared" si="73"/>
        <v>7094926623.6499996</v>
      </c>
      <c r="S169" s="133">
        <f t="shared" si="73"/>
        <v>7094926623.6499996</v>
      </c>
      <c r="T169" s="133">
        <f t="shared" si="73"/>
        <v>7094926623.6499996</v>
      </c>
      <c r="U169" s="133">
        <f t="shared" si="73"/>
        <v>7094926623.6499996</v>
      </c>
      <c r="V169" s="133">
        <f t="shared" si="73"/>
        <v>7094926623.6499996</v>
      </c>
      <c r="W169" s="133">
        <f t="shared" si="73"/>
        <v>7094926623.6499996</v>
      </c>
      <c r="X169" s="133">
        <f t="shared" si="73"/>
        <v>7094926623.6499996</v>
      </c>
      <c r="Y169" s="133">
        <f t="shared" si="73"/>
        <v>7094926623.6499996</v>
      </c>
      <c r="Z169" s="133">
        <f t="shared" si="73"/>
        <v>7094926623.6499996</v>
      </c>
      <c r="AA169" s="133">
        <f>+Z169</f>
        <v>7094926623.6499996</v>
      </c>
      <c r="AB169" s="135">
        <v>14849519333.43</v>
      </c>
      <c r="AC169" s="161">
        <f t="shared" si="72"/>
        <v>0</v>
      </c>
      <c r="AD169" s="89">
        <f>+N169-AB169</f>
        <v>0</v>
      </c>
      <c r="AE169" s="90">
        <f>+AE168-AD168</f>
        <v>92135410783.063904</v>
      </c>
      <c r="AF169" s="426">
        <f t="shared" si="60"/>
        <v>14849519.33343</v>
      </c>
    </row>
    <row r="170" spans="1:35" s="190" customFormat="1" ht="11.25" customHeight="1" outlineLevel="1">
      <c r="A170" s="159">
        <v>4108</v>
      </c>
      <c r="B170" s="127" t="s">
        <v>655</v>
      </c>
      <c r="C170" s="133"/>
      <c r="D170" s="133"/>
      <c r="E170" s="133"/>
      <c r="F170" s="133"/>
      <c r="G170" s="187"/>
      <c r="H170" s="133"/>
      <c r="I170" s="133"/>
      <c r="J170" s="133"/>
      <c r="K170" s="133"/>
      <c r="L170" s="133"/>
      <c r="M170" s="133"/>
      <c r="N170" s="133"/>
      <c r="O170" s="188">
        <f t="shared" si="71"/>
        <v>0</v>
      </c>
      <c r="P170" s="187"/>
      <c r="Q170" s="133"/>
      <c r="R170" s="133"/>
      <c r="S170" s="133"/>
      <c r="T170" s="133"/>
      <c r="U170" s="133"/>
      <c r="V170" s="133"/>
      <c r="W170" s="133"/>
      <c r="X170" s="133"/>
      <c r="Y170" s="133"/>
      <c r="Z170" s="133"/>
      <c r="AA170" s="133"/>
      <c r="AB170" s="135"/>
      <c r="AC170" s="189">
        <f t="shared" si="72"/>
        <v>0</v>
      </c>
      <c r="AD170" s="187"/>
      <c r="AF170" s="426">
        <f t="shared" si="60"/>
        <v>0</v>
      </c>
    </row>
    <row r="171" spans="1:35">
      <c r="A171" s="191"/>
      <c r="B171" s="150" t="s">
        <v>656</v>
      </c>
      <c r="C171" s="167">
        <f>SUM(C163:C170)</f>
        <v>44229452929.709999</v>
      </c>
      <c r="D171" s="167">
        <f>SUM(D163:D170)</f>
        <v>44599428482.959999</v>
      </c>
      <c r="E171" s="167">
        <f>SUM(E163:E170)</f>
        <v>45238354355.239998</v>
      </c>
      <c r="F171" s="167">
        <f t="shared" ref="F171:O171" si="74">SUM(F163:F170)</f>
        <v>45098434454.099998</v>
      </c>
      <c r="G171" s="167">
        <f t="shared" si="74"/>
        <v>43938416003.690002</v>
      </c>
      <c r="H171" s="167">
        <f t="shared" si="74"/>
        <v>44483926531.309998</v>
      </c>
      <c r="I171" s="167">
        <f t="shared" si="74"/>
        <v>45890968344.919998</v>
      </c>
      <c r="J171" s="167">
        <f t="shared" si="74"/>
        <v>47864875702</v>
      </c>
      <c r="K171" s="167">
        <v>49420826224.209999</v>
      </c>
      <c r="L171" s="167">
        <v>51064483191.779999</v>
      </c>
      <c r="M171" s="167">
        <v>52855082532.400002</v>
      </c>
      <c r="N171" s="167">
        <v>104340398289.11</v>
      </c>
      <c r="O171" s="152">
        <f t="shared" si="74"/>
        <v>0</v>
      </c>
      <c r="Q171" s="167">
        <f>SUM(Q163:Q170)</f>
        <v>37494173472.620003</v>
      </c>
      <c r="R171" s="167">
        <f>SUM(R163:R170)</f>
        <v>37742401898.940002</v>
      </c>
      <c r="S171" s="167">
        <f t="shared" ref="S171:AC171" si="75">SUM(S163:S170)</f>
        <v>37858478583.379997</v>
      </c>
      <c r="T171" s="167">
        <f t="shared" si="75"/>
        <v>36785676737.779999</v>
      </c>
      <c r="U171" s="167">
        <f t="shared" si="75"/>
        <v>36836858079.32</v>
      </c>
      <c r="V171" s="167">
        <f t="shared" si="75"/>
        <v>36732661403.090004</v>
      </c>
      <c r="W171" s="167">
        <f t="shared" si="75"/>
        <v>36987873550.150002</v>
      </c>
      <c r="X171" s="167">
        <f t="shared" si="75"/>
        <v>37993957618.080002</v>
      </c>
      <c r="Y171" s="167">
        <f t="shared" si="75"/>
        <v>38829503127.370003</v>
      </c>
      <c r="Z171" s="167">
        <f t="shared" si="75"/>
        <v>40347911439.690002</v>
      </c>
      <c r="AA171" s="167">
        <f t="shared" si="75"/>
        <v>41858701436.520004</v>
      </c>
      <c r="AB171" s="168">
        <v>86677774414.309998</v>
      </c>
      <c r="AC171" s="169">
        <f t="shared" si="75"/>
        <v>0</v>
      </c>
      <c r="AF171" s="426">
        <f t="shared" si="60"/>
        <v>104340398.28911</v>
      </c>
    </row>
    <row r="172" spans="1:35">
      <c r="A172" s="191"/>
      <c r="B172" s="192">
        <v>0</v>
      </c>
      <c r="C172" s="167"/>
      <c r="D172" s="167"/>
      <c r="E172" s="167"/>
      <c r="F172" s="167"/>
      <c r="G172" s="167"/>
      <c r="H172" s="167"/>
      <c r="I172" s="167"/>
      <c r="J172" s="167"/>
      <c r="K172" s="167"/>
      <c r="L172" s="167"/>
      <c r="M172" s="167"/>
      <c r="N172" s="167"/>
      <c r="O172" s="152"/>
      <c r="Q172" s="167"/>
      <c r="R172" s="167"/>
      <c r="S172" s="167"/>
      <c r="T172" s="167"/>
      <c r="U172" s="167"/>
      <c r="V172" s="167"/>
      <c r="W172" s="167"/>
      <c r="X172" s="167"/>
      <c r="Y172" s="167"/>
      <c r="Z172" s="167"/>
      <c r="AA172" s="167"/>
      <c r="AB172" s="168"/>
      <c r="AC172" s="169"/>
      <c r="AF172" s="426">
        <f t="shared" si="60"/>
        <v>0</v>
      </c>
    </row>
    <row r="173" spans="1:35">
      <c r="A173" s="193"/>
      <c r="B173" s="194" t="s">
        <v>657</v>
      </c>
      <c r="C173" s="195">
        <f t="shared" ref="C173:J173" si="76">SUM(C160,C171)</f>
        <v>80889079053.369995</v>
      </c>
      <c r="D173" s="195">
        <f t="shared" si="76"/>
        <v>80805076806.299988</v>
      </c>
      <c r="E173" s="195">
        <f t="shared" si="76"/>
        <v>81972481573.509995</v>
      </c>
      <c r="F173" s="195">
        <f t="shared" si="76"/>
        <v>90072039557.5</v>
      </c>
      <c r="G173" s="195">
        <f t="shared" si="76"/>
        <v>98910787451.830002</v>
      </c>
      <c r="H173" s="195">
        <f t="shared" si="76"/>
        <v>99551763915.519989</v>
      </c>
      <c r="I173" s="195">
        <f t="shared" si="76"/>
        <v>98789121020.539993</v>
      </c>
      <c r="J173" s="195">
        <f t="shared" si="76"/>
        <v>98100118452.220001</v>
      </c>
      <c r="K173" s="195">
        <v>97086593008.040009</v>
      </c>
      <c r="L173" s="195">
        <v>96942222835.290009</v>
      </c>
      <c r="M173" s="195">
        <v>93661402973.139999</v>
      </c>
      <c r="N173" s="195">
        <v>182816017033.39001</v>
      </c>
      <c r="O173" s="196">
        <f>SUM(O160,O171)</f>
        <v>0</v>
      </c>
      <c r="Q173" s="195">
        <f>SUM(Q160,Q171)</f>
        <v>66644733669.350006</v>
      </c>
      <c r="R173" s="195">
        <f>SUM(R160,R171)</f>
        <v>65935786571.279999</v>
      </c>
      <c r="S173" s="195">
        <f>SUM(S160,S171)</f>
        <v>66852775171.609993</v>
      </c>
      <c r="T173" s="195">
        <f t="shared" ref="T173:AC173" si="77">SUM(T160,T171)</f>
        <v>71067722701.599991</v>
      </c>
      <c r="U173" s="195">
        <f t="shared" si="77"/>
        <v>71650050723.589996</v>
      </c>
      <c r="V173" s="195">
        <f t="shared" si="77"/>
        <v>71609533131.419998</v>
      </c>
      <c r="W173" s="195">
        <f t="shared" si="77"/>
        <v>70542918642.360001</v>
      </c>
      <c r="X173" s="195">
        <f t="shared" si="77"/>
        <v>71392156136.100006</v>
      </c>
      <c r="Y173" s="195">
        <f t="shared" si="77"/>
        <v>71872714163.98999</v>
      </c>
      <c r="Z173" s="195">
        <f t="shared" si="77"/>
        <v>78205656253.809998</v>
      </c>
      <c r="AA173" s="195">
        <f t="shared" si="77"/>
        <v>79756886077.550003</v>
      </c>
      <c r="AB173" s="197">
        <v>136952999141.76999</v>
      </c>
      <c r="AC173" s="198">
        <f t="shared" si="77"/>
        <v>0</v>
      </c>
      <c r="AF173" s="426">
        <f t="shared" si="60"/>
        <v>182816017.03339002</v>
      </c>
    </row>
    <row r="174" spans="1:35">
      <c r="F174" s="102"/>
      <c r="G174" s="102"/>
      <c r="J174" s="102">
        <f>+J173-98100118452.22</f>
        <v>0</v>
      </c>
      <c r="K174" s="102">
        <v>0</v>
      </c>
      <c r="L174" s="102">
        <f>+L173-96942222835.29</f>
        <v>0</v>
      </c>
      <c r="M174" s="102">
        <f>+M173-93661402973.14</f>
        <v>0</v>
      </c>
      <c r="N174" s="102">
        <f>136952999141.77-N173</f>
        <v>-45863017891.62001</v>
      </c>
      <c r="T174" s="102"/>
      <c r="U174" s="102"/>
      <c r="V174" s="199"/>
      <c r="W174" s="199"/>
      <c r="X174" s="102"/>
      <c r="Y174" s="199"/>
      <c r="Z174" s="102"/>
      <c r="AB174" s="102">
        <f>122760787408.46-AB173</f>
        <v>-14192211733.309982</v>
      </c>
      <c r="AC174" s="199"/>
    </row>
    <row r="175" spans="1:35" s="200" customFormat="1" ht="10.199999999999999">
      <c r="B175" s="201" t="s">
        <v>658</v>
      </c>
      <c r="C175" s="202">
        <f t="shared" ref="C175:O175" si="78">C108-C173</f>
        <v>0</v>
      </c>
      <c r="D175" s="202">
        <f t="shared" si="78"/>
        <v>0</v>
      </c>
      <c r="E175" s="202">
        <f t="shared" si="78"/>
        <v>-1.8157958984375E-3</v>
      </c>
      <c r="F175" s="202">
        <f t="shared" si="78"/>
        <v>0</v>
      </c>
      <c r="G175" s="202">
        <f t="shared" si="78"/>
        <v>0</v>
      </c>
      <c r="H175" s="202">
        <f t="shared" si="78"/>
        <v>3.0059814453125E-3</v>
      </c>
      <c r="I175" s="202">
        <f t="shared" si="78"/>
        <v>0</v>
      </c>
      <c r="J175" s="202">
        <f t="shared" si="78"/>
        <v>0</v>
      </c>
      <c r="K175" s="202">
        <v>0</v>
      </c>
      <c r="L175" s="202">
        <f t="shared" si="78"/>
        <v>0</v>
      </c>
      <c r="M175" s="202">
        <f t="shared" si="78"/>
        <v>0</v>
      </c>
      <c r="N175" s="202">
        <f t="shared" si="78"/>
        <v>4.302978515625E-3</v>
      </c>
      <c r="O175" s="202">
        <f t="shared" si="78"/>
        <v>0</v>
      </c>
      <c r="P175" s="202"/>
      <c r="Q175" s="202">
        <f t="shared" ref="Q175:AC175" si="79">Q108-Q173</f>
        <v>0</v>
      </c>
      <c r="R175" s="202">
        <f t="shared" si="79"/>
        <v>0</v>
      </c>
      <c r="S175" s="202">
        <f t="shared" si="79"/>
        <v>0</v>
      </c>
      <c r="T175" s="202">
        <f t="shared" si="79"/>
        <v>0</v>
      </c>
      <c r="U175" s="202">
        <f t="shared" si="79"/>
        <v>0</v>
      </c>
      <c r="V175" s="203">
        <f t="shared" si="79"/>
        <v>0</v>
      </c>
      <c r="W175" s="203">
        <f t="shared" si="79"/>
        <v>0</v>
      </c>
      <c r="X175" s="203">
        <f t="shared" si="79"/>
        <v>0</v>
      </c>
      <c r="Y175" s="203">
        <f t="shared" si="79"/>
        <v>0</v>
      </c>
      <c r="Z175" s="202">
        <f t="shared" si="79"/>
        <v>0</v>
      </c>
      <c r="AA175" s="202">
        <f t="shared" si="79"/>
        <v>0</v>
      </c>
      <c r="AB175" s="202">
        <f t="shared" si="79"/>
        <v>0</v>
      </c>
      <c r="AC175" s="203">
        <f t="shared" si="79"/>
        <v>0</v>
      </c>
      <c r="AD175" s="202"/>
    </row>
    <row r="176" spans="1:35">
      <c r="C176" s="102">
        <v>80889079053.369995</v>
      </c>
      <c r="D176" s="102">
        <v>80805076806.300003</v>
      </c>
      <c r="E176" s="102">
        <v>81972481573.509995</v>
      </c>
      <c r="F176" s="102">
        <v>90072039557.5</v>
      </c>
      <c r="G176" s="102">
        <v>98910787451.830002</v>
      </c>
      <c r="H176" s="102">
        <v>99551763915.520004</v>
      </c>
      <c r="T176" s="102"/>
      <c r="U176" s="102"/>
      <c r="Y176" s="102"/>
    </row>
    <row r="177" spans="3:42">
      <c r="C177" s="204">
        <f t="shared" ref="C177:H177" si="80">+C176-C173</f>
        <v>0</v>
      </c>
      <c r="D177" s="204">
        <f t="shared" si="80"/>
        <v>0</v>
      </c>
      <c r="E177" s="204">
        <f t="shared" si="80"/>
        <v>0</v>
      </c>
      <c r="F177" s="204">
        <f t="shared" si="80"/>
        <v>0</v>
      </c>
      <c r="G177" s="204">
        <f t="shared" si="80"/>
        <v>0</v>
      </c>
      <c r="H177" s="204">
        <f t="shared" si="80"/>
        <v>0</v>
      </c>
      <c r="I177" s="204"/>
      <c r="J177" s="205"/>
      <c r="K177" s="204"/>
      <c r="L177" s="204"/>
      <c r="M177" s="204"/>
      <c r="N177" s="204"/>
      <c r="O177" s="204"/>
      <c r="Q177" s="204"/>
      <c r="R177" s="204"/>
      <c r="S177" s="204"/>
      <c r="T177" s="204"/>
      <c r="U177" s="204"/>
      <c r="V177" s="206"/>
      <c r="W177" s="205"/>
      <c r="X177" s="205"/>
      <c r="Y177" s="205"/>
      <c r="Z177" s="205"/>
      <c r="AA177" s="204"/>
      <c r="AB177" s="204"/>
      <c r="AC177" s="205"/>
      <c r="AP177" s="205"/>
    </row>
    <row r="178" spans="3:42">
      <c r="C178" s="204"/>
      <c r="D178" s="204"/>
      <c r="E178" s="204"/>
      <c r="F178" s="204"/>
      <c r="G178" s="204"/>
      <c r="H178" s="204"/>
      <c r="I178" s="204"/>
      <c r="J178" s="204"/>
      <c r="K178" s="204"/>
      <c r="L178" s="204"/>
      <c r="M178" s="204"/>
      <c r="N178" s="110"/>
      <c r="O178" s="204"/>
      <c r="Q178" s="204"/>
      <c r="R178" s="204"/>
      <c r="S178" s="204"/>
      <c r="T178" s="204"/>
      <c r="U178" s="204"/>
      <c r="V178" s="204"/>
      <c r="W178" s="204"/>
      <c r="X178" s="204"/>
      <c r="Y178" s="204"/>
      <c r="Z178" s="204"/>
      <c r="AA178" s="204"/>
      <c r="AB178" s="110"/>
      <c r="AC178" s="205"/>
      <c r="AP178" s="205"/>
    </row>
    <row r="179" spans="3:42" s="111" customFormat="1" ht="10.199999999999999">
      <c r="C179" s="110"/>
      <c r="D179" s="110"/>
      <c r="E179" s="110"/>
      <c r="F179" s="110"/>
      <c r="G179" s="110"/>
      <c r="H179" s="110"/>
      <c r="I179" s="110"/>
      <c r="K179" s="110"/>
      <c r="L179" s="110"/>
      <c r="M179" s="110"/>
      <c r="N179" s="110"/>
      <c r="O179" s="110"/>
      <c r="P179" s="110"/>
      <c r="Q179" s="110"/>
      <c r="R179" s="110"/>
      <c r="S179" s="110"/>
      <c r="T179" s="110"/>
      <c r="U179" s="110"/>
      <c r="AA179" s="110"/>
      <c r="AB179" s="110"/>
      <c r="AD179" s="110"/>
    </row>
    <row r="180" spans="3:42" s="111" customFormat="1" ht="10.199999999999999">
      <c r="C180" s="207"/>
      <c r="D180" s="207"/>
      <c r="E180" s="207"/>
      <c r="F180" s="207"/>
      <c r="G180" s="207"/>
      <c r="H180" s="207"/>
      <c r="I180" s="207"/>
      <c r="J180" s="208"/>
      <c r="K180" s="207"/>
      <c r="L180" s="207"/>
      <c r="M180" s="207"/>
      <c r="N180" s="207"/>
      <c r="O180" s="207"/>
      <c r="P180" s="110"/>
      <c r="Q180" s="207"/>
      <c r="R180" s="207"/>
      <c r="S180" s="207"/>
      <c r="T180" s="207"/>
      <c r="U180" s="207"/>
      <c r="V180" s="208"/>
      <c r="W180" s="208"/>
      <c r="X180" s="208"/>
      <c r="Y180" s="208"/>
      <c r="Z180" s="208"/>
      <c r="AA180" s="207"/>
      <c r="AB180" s="207"/>
      <c r="AC180" s="208"/>
      <c r="AD180" s="110"/>
      <c r="AP180" s="208"/>
    </row>
    <row r="181" spans="3:42" s="111" customFormat="1" ht="10.199999999999999">
      <c r="C181" s="207"/>
      <c r="D181" s="207"/>
      <c r="E181" s="207"/>
      <c r="F181" s="207"/>
      <c r="G181" s="207"/>
      <c r="H181" s="207"/>
      <c r="I181" s="207"/>
      <c r="J181" s="208"/>
      <c r="K181" s="207"/>
      <c r="L181" s="207"/>
      <c r="M181" s="207"/>
      <c r="N181" s="207"/>
      <c r="O181" s="207"/>
      <c r="P181" s="110"/>
      <c r="Q181" s="207"/>
      <c r="R181" s="207"/>
      <c r="S181" s="207"/>
      <c r="T181" s="207"/>
      <c r="U181" s="207"/>
      <c r="V181" s="208"/>
      <c r="W181" s="208"/>
      <c r="X181" s="208"/>
      <c r="Y181" s="208"/>
      <c r="Z181" s="208"/>
      <c r="AA181" s="207"/>
      <c r="AB181" s="207"/>
      <c r="AC181" s="208"/>
      <c r="AD181" s="110"/>
      <c r="AP181" s="208"/>
    </row>
    <row r="182" spans="3:42" s="111" customFormat="1" ht="10.199999999999999">
      <c r="C182" s="207"/>
      <c r="D182" s="207"/>
      <c r="E182" s="207"/>
      <c r="F182" s="207"/>
      <c r="G182" s="207"/>
      <c r="H182" s="207"/>
      <c r="I182" s="207"/>
      <c r="J182" s="208"/>
      <c r="K182" s="207"/>
      <c r="L182" s="207"/>
      <c r="M182" s="207"/>
      <c r="N182" s="207"/>
      <c r="O182" s="207"/>
      <c r="P182" s="110"/>
      <c r="Q182" s="207"/>
      <c r="R182" s="207"/>
      <c r="S182" s="207"/>
      <c r="T182" s="207"/>
      <c r="U182" s="207"/>
      <c r="V182" s="208"/>
      <c r="W182" s="208"/>
      <c r="X182" s="208"/>
      <c r="Y182" s="208"/>
      <c r="Z182" s="208"/>
      <c r="AA182" s="207"/>
      <c r="AB182" s="207"/>
      <c r="AC182" s="208"/>
      <c r="AD182" s="110"/>
      <c r="AP182" s="208"/>
    </row>
    <row r="183" spans="3:42" s="111" customFormat="1" ht="10.199999999999999">
      <c r="C183" s="207"/>
      <c r="D183" s="207"/>
      <c r="E183" s="207"/>
      <c r="F183" s="207"/>
      <c r="G183" s="207"/>
      <c r="H183" s="207"/>
      <c r="I183" s="207"/>
      <c r="J183" s="208"/>
      <c r="K183" s="207"/>
      <c r="L183" s="207"/>
      <c r="M183" s="207"/>
      <c r="N183" s="207"/>
      <c r="O183" s="207"/>
      <c r="P183" s="110"/>
      <c r="Q183" s="207"/>
      <c r="R183" s="207"/>
      <c r="S183" s="207"/>
      <c r="T183" s="207"/>
      <c r="U183" s="207"/>
      <c r="V183" s="208"/>
      <c r="W183" s="208"/>
      <c r="X183" s="208"/>
      <c r="Y183" s="208"/>
      <c r="Z183" s="208"/>
      <c r="AA183" s="207"/>
      <c r="AB183" s="207"/>
      <c r="AC183" s="208"/>
      <c r="AD183" s="110"/>
      <c r="AP183" s="208"/>
    </row>
    <row r="184" spans="3:42" s="111" customFormat="1" ht="10.199999999999999">
      <c r="C184" s="209"/>
      <c r="D184" s="209"/>
      <c r="E184" s="209"/>
      <c r="F184" s="209"/>
      <c r="G184" s="209"/>
      <c r="H184" s="209"/>
      <c r="I184" s="209"/>
      <c r="J184" s="210"/>
      <c r="K184" s="209"/>
      <c r="L184" s="207"/>
      <c r="M184" s="209"/>
      <c r="N184" s="110"/>
      <c r="O184" s="110"/>
      <c r="P184" s="110"/>
      <c r="Q184" s="209"/>
      <c r="R184" s="209"/>
      <c r="S184" s="209"/>
      <c r="T184" s="209"/>
      <c r="U184" s="209"/>
      <c r="V184" s="210"/>
      <c r="W184" s="210"/>
      <c r="X184" s="210"/>
      <c r="Y184" s="210"/>
      <c r="Z184" s="210"/>
      <c r="AA184" s="209"/>
      <c r="AB184" s="110"/>
      <c r="AD184" s="110"/>
    </row>
    <row r="185" spans="3:42">
      <c r="F185" s="102"/>
      <c r="G185" s="102"/>
      <c r="J185" s="199"/>
      <c r="L185" s="207">
        <v>7000000000</v>
      </c>
      <c r="T185" s="102"/>
      <c r="U185" s="102"/>
      <c r="V185" s="199"/>
      <c r="W185" s="199"/>
      <c r="X185" s="199"/>
      <c r="Y185" s="199"/>
      <c r="Z185" s="199"/>
      <c r="AC185" s="199"/>
      <c r="AP185" s="199"/>
    </row>
    <row r="186" spans="3:42">
      <c r="F186" s="102"/>
      <c r="G186" s="102"/>
      <c r="J186" s="199"/>
      <c r="L186" s="102">
        <v>7590000000</v>
      </c>
      <c r="T186" s="102"/>
      <c r="U186" s="102"/>
      <c r="V186" s="199"/>
      <c r="W186" s="199"/>
      <c r="X186" s="199"/>
      <c r="Y186" s="199"/>
      <c r="Z186" s="199"/>
      <c r="AC186" s="199"/>
      <c r="AP186" s="199"/>
    </row>
    <row r="187" spans="3:42">
      <c r="F187" s="102"/>
      <c r="G187" s="199"/>
      <c r="J187" s="199"/>
      <c r="L187" s="102">
        <f>+L186+L185+L184+L183</f>
        <v>14590000000</v>
      </c>
      <c r="T187" s="102"/>
      <c r="U187" s="199"/>
      <c r="V187" s="199"/>
      <c r="W187" s="199"/>
      <c r="X187" s="199"/>
      <c r="Y187" s="199"/>
      <c r="Z187" s="199"/>
      <c r="AC187" s="199"/>
      <c r="AP187" s="199"/>
    </row>
    <row r="188" spans="3:42">
      <c r="F188" s="102"/>
      <c r="G188" s="199"/>
      <c r="J188" s="199"/>
      <c r="L188" s="102">
        <f>+L187-L182</f>
        <v>14590000000</v>
      </c>
      <c r="T188" s="102"/>
      <c r="U188" s="199"/>
      <c r="V188" s="199"/>
      <c r="W188" s="199"/>
      <c r="X188" s="199"/>
      <c r="Y188" s="199"/>
      <c r="Z188" s="199"/>
      <c r="AC188" s="199"/>
      <c r="AP188" s="199"/>
    </row>
    <row r="189" spans="3:42">
      <c r="F189" s="102"/>
      <c r="T189" s="102"/>
    </row>
    <row r="190" spans="3:42">
      <c r="F190" s="102"/>
      <c r="G190" s="211"/>
      <c r="T190" s="102"/>
      <c r="U190" s="211"/>
    </row>
    <row r="191" spans="3:42">
      <c r="F191" s="102"/>
      <c r="G191" s="211"/>
      <c r="T191" s="102"/>
      <c r="U191" s="211"/>
    </row>
    <row r="192" spans="3:42">
      <c r="F192" s="102"/>
      <c r="T192" s="102"/>
    </row>
    <row r="193" spans="1:20">
      <c r="F193" s="102"/>
      <c r="T193" s="102"/>
    </row>
    <row r="206" spans="1:20">
      <c r="A206" s="212"/>
    </row>
  </sheetData>
  <mergeCells count="5">
    <mergeCell ref="B9:B11"/>
    <mergeCell ref="C9:N9"/>
    <mergeCell ref="O9:O10"/>
    <mergeCell ref="Q9:AB9"/>
    <mergeCell ref="AC9:AC1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21"/>
  <sheetViews>
    <sheetView topLeftCell="B10" workbookViewId="0">
      <selection activeCell="B5" sqref="B5:C5"/>
    </sheetView>
  </sheetViews>
  <sheetFormatPr defaultColWidth="9.109375" defaultRowHeight="10.199999999999999"/>
  <cols>
    <col min="1" max="1" width="9.33203125" style="466" bestFit="1" customWidth="1"/>
    <col min="2" max="2" width="37.6640625" style="466" customWidth="1"/>
    <col min="3" max="3" width="14.6640625" style="467" bestFit="1" customWidth="1"/>
    <col min="4" max="8" width="17.6640625" style="467" customWidth="1"/>
    <col min="9" max="9" width="14.33203125" style="467" customWidth="1"/>
    <col min="10" max="11" width="17.6640625" style="467" customWidth="1"/>
    <col min="12" max="12" width="19.6640625" style="466" customWidth="1"/>
    <col min="13" max="13" width="20" style="466" customWidth="1"/>
    <col min="14" max="14" width="15.109375" style="466" bestFit="1" customWidth="1"/>
    <col min="15" max="16384" width="9.109375" style="466"/>
  </cols>
  <sheetData>
    <row r="1" spans="1:14" ht="24.75" customHeight="1">
      <c r="A1" s="396" t="s">
        <v>247</v>
      </c>
      <c r="B1" s="397"/>
      <c r="C1" s="398"/>
      <c r="D1" s="398"/>
      <c r="E1" s="398"/>
      <c r="F1" s="398"/>
      <c r="G1" s="398"/>
      <c r="H1" s="398"/>
      <c r="I1" s="398"/>
      <c r="J1" s="398"/>
      <c r="K1" s="398" t="s">
        <v>1094</v>
      </c>
    </row>
    <row r="2" spans="1:14">
      <c r="A2" s="473" t="s">
        <v>79</v>
      </c>
      <c r="B2" s="473" t="s">
        <v>5</v>
      </c>
      <c r="C2" s="474" t="s">
        <v>578</v>
      </c>
      <c r="D2" s="474" t="s">
        <v>249</v>
      </c>
      <c r="E2" s="474" t="s">
        <v>250</v>
      </c>
      <c r="F2" s="474" t="s">
        <v>251</v>
      </c>
      <c r="G2" s="474" t="s">
        <v>252</v>
      </c>
      <c r="H2" s="474" t="s">
        <v>1095</v>
      </c>
      <c r="I2" s="474" t="s">
        <v>1096</v>
      </c>
      <c r="J2" s="474" t="s">
        <v>254</v>
      </c>
      <c r="K2" s="474" t="s">
        <v>82</v>
      </c>
    </row>
    <row r="3" spans="1:14" ht="15.75" customHeight="1">
      <c r="A3" s="434">
        <v>1</v>
      </c>
      <c r="B3" s="475" t="s">
        <v>255</v>
      </c>
      <c r="C3" s="525"/>
      <c r="D3" s="525"/>
      <c r="E3" s="525"/>
      <c r="F3" s="525"/>
      <c r="G3" s="525"/>
      <c r="H3" s="525"/>
      <c r="I3" s="525"/>
      <c r="J3" s="525"/>
      <c r="K3" s="526"/>
    </row>
    <row r="4" spans="1:14">
      <c r="A4" s="478">
        <v>1.1000000000000001</v>
      </c>
      <c r="B4" s="479" t="s">
        <v>194</v>
      </c>
      <c r="C4" s="526">
        <v>2576719200</v>
      </c>
      <c r="D4" s="526">
        <v>21058094156.169998</v>
      </c>
      <c r="E4" s="526">
        <v>39997592967.290001</v>
      </c>
      <c r="F4" s="526">
        <v>1559437969.5799999</v>
      </c>
      <c r="G4" s="526">
        <v>2136194507.2999997</v>
      </c>
      <c r="H4" s="526">
        <v>1636887545.72</v>
      </c>
      <c r="I4" s="526"/>
      <c r="J4" s="526">
        <v>334557566.33999997</v>
      </c>
      <c r="K4" s="526">
        <f>SUM(C4:J4)</f>
        <v>69299483912.399994</v>
      </c>
      <c r="L4" s="469"/>
      <c r="M4" s="468" t="s">
        <v>1097</v>
      </c>
      <c r="N4" s="333"/>
    </row>
    <row r="5" spans="1:14">
      <c r="A5" s="478">
        <v>1.2</v>
      </c>
      <c r="B5" s="481" t="s">
        <v>256</v>
      </c>
      <c r="C5" s="526">
        <f t="shared" ref="C5:J5" si="0">+C6+C7+C8+C9</f>
        <v>0</v>
      </c>
      <c r="D5" s="526">
        <f t="shared" si="0"/>
        <v>2332500143.7999997</v>
      </c>
      <c r="E5" s="526">
        <f t="shared" si="0"/>
        <v>8041411159.9300003</v>
      </c>
      <c r="F5" s="526">
        <f t="shared" si="0"/>
        <v>400148125.48000002</v>
      </c>
      <c r="G5" s="526">
        <f t="shared" si="0"/>
        <v>626686723.76999998</v>
      </c>
      <c r="H5" s="526">
        <f t="shared" si="0"/>
        <v>290543720.94</v>
      </c>
      <c r="I5" s="526">
        <f t="shared" si="0"/>
        <v>0</v>
      </c>
      <c r="J5" s="526">
        <f t="shared" si="0"/>
        <v>0</v>
      </c>
      <c r="K5" s="526">
        <f>SUM(C5:J5)</f>
        <v>11691289873.92</v>
      </c>
      <c r="L5" s="467"/>
      <c r="M5" s="334"/>
      <c r="N5" s="334"/>
    </row>
    <row r="6" spans="1:14">
      <c r="A6" s="1055"/>
      <c r="B6" s="479" t="s">
        <v>257</v>
      </c>
      <c r="C6" s="525"/>
      <c r="D6" s="525"/>
      <c r="E6" s="525"/>
      <c r="F6" s="525"/>
      <c r="G6" s="525"/>
      <c r="H6" s="525"/>
      <c r="I6" s="525"/>
      <c r="J6" s="525"/>
      <c r="K6" s="526">
        <f>SUM(C6:J6)</f>
        <v>0</v>
      </c>
      <c r="L6" s="470"/>
      <c r="M6" s="333"/>
      <c r="N6" s="333"/>
    </row>
    <row r="7" spans="1:14">
      <c r="A7" s="1056"/>
      <c r="B7" s="479" t="s">
        <v>258</v>
      </c>
      <c r="C7" s="525"/>
      <c r="D7" s="527">
        <v>1973734437.3499999</v>
      </c>
      <c r="E7" s="527">
        <f>7384046872.43-1909178.8</f>
        <v>7382137693.6300001</v>
      </c>
      <c r="F7" s="527">
        <v>385701827.48000002</v>
      </c>
      <c r="G7" s="527">
        <v>626306723.76999998</v>
      </c>
      <c r="H7" s="527">
        <v>284380720.94</v>
      </c>
      <c r="I7" s="525"/>
      <c r="J7" s="525"/>
      <c r="K7" s="526">
        <f>SUM(C7:J7)</f>
        <v>10652261403.17</v>
      </c>
      <c r="L7" s="533">
        <f>+K46</f>
        <v>5233339.9000000004</v>
      </c>
      <c r="M7" s="535"/>
      <c r="N7" s="535"/>
    </row>
    <row r="8" spans="1:14">
      <c r="A8" s="1056"/>
      <c r="B8" s="479" t="s">
        <v>1043</v>
      </c>
      <c r="C8" s="525"/>
      <c r="D8" s="527">
        <v>358765706.44999999</v>
      </c>
      <c r="E8" s="527">
        <f>659273466.3</f>
        <v>659273466.29999995</v>
      </c>
      <c r="F8" s="527">
        <v>14446298</v>
      </c>
      <c r="G8" s="527">
        <v>380000</v>
      </c>
      <c r="H8" s="527">
        <v>6163000</v>
      </c>
      <c r="I8" s="525"/>
      <c r="J8" s="527"/>
      <c r="K8" s="526">
        <f t="shared" ref="K8:K15" si="1">SUM(C8:J8)</f>
        <v>1039028470.75</v>
      </c>
      <c r="L8" s="533">
        <f>+L7+K7</f>
        <v>10657494743.07</v>
      </c>
      <c r="M8" s="535">
        <v>10657494743.1</v>
      </c>
      <c r="N8" s="535">
        <f>+L8-M8</f>
        <v>-3.0000686645507813E-2</v>
      </c>
    </row>
    <row r="9" spans="1:14">
      <c r="A9" s="1057"/>
      <c r="B9" s="483" t="s">
        <v>260</v>
      </c>
      <c r="C9" s="525"/>
      <c r="D9" s="525"/>
      <c r="E9" s="528"/>
      <c r="F9" s="525"/>
      <c r="G9" s="525"/>
      <c r="H9" s="525"/>
      <c r="I9" s="525"/>
      <c r="J9" s="525"/>
      <c r="K9" s="529">
        <f t="shared" si="1"/>
        <v>0</v>
      </c>
      <c r="L9" s="533">
        <f>+K48</f>
        <v>33268889.899999999</v>
      </c>
      <c r="M9" s="535"/>
      <c r="N9" s="535"/>
    </row>
    <row r="10" spans="1:14">
      <c r="A10" s="478">
        <v>1.3</v>
      </c>
      <c r="B10" s="481" t="s">
        <v>234</v>
      </c>
      <c r="C10" s="526">
        <f t="shared" ref="C10:J10" si="2">SUM(C11:C15)</f>
        <v>0</v>
      </c>
      <c r="D10" s="526">
        <f t="shared" si="2"/>
        <v>63945727.630000003</v>
      </c>
      <c r="E10" s="526">
        <f t="shared" si="2"/>
        <v>898927842.56000006</v>
      </c>
      <c r="F10" s="526">
        <f t="shared" si="2"/>
        <v>213964953.22</v>
      </c>
      <c r="G10" s="526">
        <f>SUM(G11:G15)</f>
        <v>167846455.90000001</v>
      </c>
      <c r="H10" s="526">
        <f t="shared" si="2"/>
        <v>42340834.25</v>
      </c>
      <c r="I10" s="526"/>
      <c r="J10" s="526">
        <f t="shared" si="2"/>
        <v>0</v>
      </c>
      <c r="K10" s="529">
        <f t="shared" si="1"/>
        <v>1387025813.5600002</v>
      </c>
      <c r="L10" s="533">
        <f>+L9+K8</f>
        <v>1072297360.65</v>
      </c>
      <c r="M10" s="535">
        <v>1072297360.65</v>
      </c>
      <c r="N10" s="535">
        <f>+M10-L10</f>
        <v>0</v>
      </c>
    </row>
    <row r="11" spans="1:14">
      <c r="A11" s="1055"/>
      <c r="B11" s="479" t="s">
        <v>261</v>
      </c>
      <c r="C11" s="525"/>
      <c r="D11" s="525"/>
      <c r="E11" s="527">
        <v>726679626.24000001</v>
      </c>
      <c r="F11" s="527">
        <v>213964953.22</v>
      </c>
      <c r="G11" s="525">
        <f>21363480.03+662727</f>
        <v>22026207.030000001</v>
      </c>
      <c r="H11" s="530"/>
      <c r="I11" s="530"/>
      <c r="J11" s="525"/>
      <c r="K11" s="534">
        <f t="shared" si="1"/>
        <v>962670786.49000001</v>
      </c>
      <c r="L11" s="470">
        <v>962670786.76272738</v>
      </c>
      <c r="M11" s="471">
        <f>+L11-K11</f>
        <v>0.272727370262146</v>
      </c>
      <c r="N11" s="333"/>
    </row>
    <row r="12" spans="1:14">
      <c r="A12" s="1056"/>
      <c r="B12" s="479" t="s">
        <v>262</v>
      </c>
      <c r="C12" s="525"/>
      <c r="D12" s="525"/>
      <c r="E12" s="528"/>
      <c r="F12" s="525"/>
      <c r="G12" s="525"/>
      <c r="H12" s="525"/>
      <c r="I12" s="525"/>
      <c r="J12" s="525"/>
      <c r="K12" s="529">
        <f t="shared" si="1"/>
        <v>0</v>
      </c>
      <c r="L12" s="470"/>
      <c r="M12" s="333"/>
      <c r="N12" s="333"/>
    </row>
    <row r="13" spans="1:14">
      <c r="A13" s="1057"/>
      <c r="B13" s="479" t="s">
        <v>263</v>
      </c>
      <c r="C13" s="525"/>
      <c r="D13" s="527">
        <v>63945727.630000003</v>
      </c>
      <c r="E13" s="527">
        <v>161068437.62</v>
      </c>
      <c r="F13" s="525"/>
      <c r="G13" s="527">
        <v>153560232.37</v>
      </c>
      <c r="H13" s="527">
        <v>43055682.75</v>
      </c>
      <c r="I13" s="525"/>
      <c r="J13" s="525"/>
      <c r="K13" s="534">
        <f t="shared" si="1"/>
        <v>421630080.37</v>
      </c>
      <c r="L13" s="470">
        <f>+K13-K24</f>
        <v>161414613.75</v>
      </c>
      <c r="M13" s="471"/>
      <c r="N13" s="333"/>
    </row>
    <row r="14" spans="1:14">
      <c r="A14" s="478">
        <v>1.4</v>
      </c>
      <c r="B14" s="483" t="s">
        <v>264</v>
      </c>
      <c r="C14" s="525"/>
      <c r="D14" s="525"/>
      <c r="E14" s="528"/>
      <c r="F14" s="525"/>
      <c r="G14" s="525"/>
      <c r="H14" s="525"/>
      <c r="I14" s="525"/>
      <c r="J14" s="525"/>
      <c r="K14" s="529">
        <f t="shared" si="1"/>
        <v>0</v>
      </c>
      <c r="L14" s="470">
        <v>161414613.75</v>
      </c>
      <c r="M14" s="333"/>
      <c r="N14" s="333"/>
    </row>
    <row r="15" spans="1:14" ht="12.75" customHeight="1">
      <c r="A15" s="478">
        <v>1.5</v>
      </c>
      <c r="B15" s="483" t="s">
        <v>265</v>
      </c>
      <c r="C15" s="525"/>
      <c r="D15" s="525"/>
      <c r="E15" s="525">
        <v>11179778.699999999</v>
      </c>
      <c r="F15" s="525"/>
      <c r="G15" s="525">
        <v>-7739983.5</v>
      </c>
      <c r="H15" s="525">
        <v>-714848.5</v>
      </c>
      <c r="I15" s="525"/>
      <c r="J15" s="525"/>
      <c r="K15" s="529">
        <f t="shared" si="1"/>
        <v>2724946.6999999993</v>
      </c>
      <c r="L15" s="470">
        <f>+L14-L13</f>
        <v>0</v>
      </c>
      <c r="M15" s="334"/>
      <c r="N15" s="333"/>
    </row>
    <row r="16" spans="1:14">
      <c r="A16" s="478">
        <v>1.6</v>
      </c>
      <c r="B16" s="483" t="s">
        <v>195</v>
      </c>
      <c r="C16" s="526">
        <f t="shared" ref="C16:K16" si="3">+C4+C5-C10</f>
        <v>2576719200</v>
      </c>
      <c r="D16" s="526">
        <f t="shared" si="3"/>
        <v>23326648572.339996</v>
      </c>
      <c r="E16" s="526">
        <f t="shared" si="3"/>
        <v>47140076284.660004</v>
      </c>
      <c r="F16" s="526">
        <f t="shared" si="3"/>
        <v>1745621141.8399999</v>
      </c>
      <c r="G16" s="526">
        <f t="shared" si="3"/>
        <v>2595034775.1699996</v>
      </c>
      <c r="H16" s="526">
        <f>+H4+H5-H10</f>
        <v>1885090432.4100001</v>
      </c>
      <c r="I16" s="526"/>
      <c r="J16" s="526">
        <f t="shared" si="3"/>
        <v>334557566.33999997</v>
      </c>
      <c r="K16" s="526">
        <f t="shared" si="3"/>
        <v>79603747972.759995</v>
      </c>
      <c r="L16" s="469">
        <f>+'BL mn'!N76+'BL mn'!N77+'BL mn'!N79+'BL mn'!N81+'BL mn'!N83+'BL mn'!N85+'BL mn'!N87+'BL mn'!N89+'BL mn'!N91</f>
        <v>88013174559.130005</v>
      </c>
      <c r="M16" s="334">
        <f>+L16-K16</f>
        <v>8409426586.3700104</v>
      </c>
      <c r="N16" s="333"/>
    </row>
    <row r="17" spans="1:14">
      <c r="A17" s="434">
        <v>2</v>
      </c>
      <c r="B17" s="484" t="s">
        <v>266</v>
      </c>
      <c r="C17" s="525"/>
      <c r="D17" s="525"/>
      <c r="E17" s="525"/>
      <c r="F17" s="525"/>
      <c r="G17" s="525"/>
      <c r="H17" s="525"/>
      <c r="I17" s="525"/>
      <c r="J17" s="525"/>
      <c r="K17" s="526"/>
      <c r="L17" s="470"/>
      <c r="M17" s="334">
        <f>+'BL mn'!N89</f>
        <v>8240462576</v>
      </c>
      <c r="N17" s="333"/>
    </row>
    <row r="18" spans="1:14">
      <c r="A18" s="478">
        <v>2.1</v>
      </c>
      <c r="B18" s="484" t="s">
        <v>194</v>
      </c>
      <c r="C18" s="526"/>
      <c r="D18" s="526">
        <v>1139541616.99</v>
      </c>
      <c r="E18" s="526">
        <v>23104803507.540001</v>
      </c>
      <c r="F18" s="526">
        <v>522225072.32000005</v>
      </c>
      <c r="G18" s="526">
        <v>686665694.05999994</v>
      </c>
      <c r="H18" s="526">
        <v>1341105995.6100001</v>
      </c>
      <c r="I18" s="526"/>
      <c r="J18" s="526">
        <v>235666388.72</v>
      </c>
      <c r="K18" s="526">
        <f>SUM(D18:J18)</f>
        <v>27030008275.240005</v>
      </c>
      <c r="L18" s="470"/>
      <c r="M18" s="467">
        <f>+M16-M17</f>
        <v>168964010.37001038</v>
      </c>
    </row>
    <row r="19" spans="1:14">
      <c r="A19" s="478">
        <v>2.2000000000000002</v>
      </c>
      <c r="B19" s="479" t="s">
        <v>233</v>
      </c>
      <c r="C19" s="526">
        <f t="shared" ref="C19:J19" si="4">SUM(C20:C22)</f>
        <v>0</v>
      </c>
      <c r="D19" s="526">
        <f t="shared" si="4"/>
        <v>909558625.77999997</v>
      </c>
      <c r="E19" s="526">
        <f t="shared" si="4"/>
        <v>3909897051.4400001</v>
      </c>
      <c r="F19" s="526">
        <f t="shared" si="4"/>
        <v>177992181.02999997</v>
      </c>
      <c r="G19" s="526">
        <f t="shared" si="4"/>
        <v>252913949.91</v>
      </c>
      <c r="H19" s="526">
        <f t="shared" si="4"/>
        <v>157339404.70999998</v>
      </c>
      <c r="I19" s="526">
        <f t="shared" si="4"/>
        <v>0</v>
      </c>
      <c r="J19" s="526">
        <f t="shared" si="4"/>
        <v>19850838.800000001</v>
      </c>
      <c r="K19" s="526">
        <f t="shared" ref="K19:K27" si="5">SUM(D19:J19)</f>
        <v>5427552051.6700001</v>
      </c>
      <c r="L19" s="470"/>
      <c r="M19" s="467">
        <f>+'BL mn'!N91</f>
        <v>168964010.38</v>
      </c>
    </row>
    <row r="20" spans="1:14">
      <c r="A20" s="1055"/>
      <c r="B20" s="479" t="s">
        <v>267</v>
      </c>
      <c r="C20" s="525"/>
      <c r="D20" s="527">
        <v>904837827.98000002</v>
      </c>
      <c r="E20" s="527">
        <v>3806578169.54</v>
      </c>
      <c r="F20" s="527">
        <v>171433311.82999998</v>
      </c>
      <c r="G20" s="527">
        <v>244393293.91</v>
      </c>
      <c r="H20" s="527">
        <v>153241309.50999999</v>
      </c>
      <c r="I20" s="527"/>
      <c r="J20" s="525">
        <v>19850838.800000001</v>
      </c>
      <c r="K20" s="526">
        <f t="shared" si="5"/>
        <v>5300334751.5700006</v>
      </c>
      <c r="L20" s="470">
        <f>+K57</f>
        <v>106279862.92</v>
      </c>
      <c r="M20" s="467">
        <f>+M18-M19</f>
        <v>-9.989619255065918E-3</v>
      </c>
    </row>
    <row r="21" spans="1:14">
      <c r="A21" s="1056"/>
      <c r="B21" s="483" t="s">
        <v>1044</v>
      </c>
      <c r="C21" s="525"/>
      <c r="D21" s="525">
        <v>4720797.8</v>
      </c>
      <c r="E21" s="525">
        <v>103318881.90000001</v>
      </c>
      <c r="F21" s="525">
        <v>6558869.2000000002</v>
      </c>
      <c r="G21" s="525">
        <v>8520656</v>
      </c>
      <c r="H21" s="525">
        <v>4098095.2</v>
      </c>
      <c r="I21" s="525"/>
      <c r="J21" s="525"/>
      <c r="K21" s="526">
        <f t="shared" si="5"/>
        <v>127217300.10000001</v>
      </c>
      <c r="L21" s="472">
        <f>+K20+L20</f>
        <v>5406614614.4900007</v>
      </c>
    </row>
    <row r="22" spans="1:14">
      <c r="A22" s="1057"/>
      <c r="B22" s="483" t="s">
        <v>268</v>
      </c>
      <c r="C22" s="525"/>
      <c r="D22" s="525"/>
      <c r="E22" s="525"/>
      <c r="F22" s="525"/>
      <c r="G22" s="525"/>
      <c r="H22" s="525"/>
      <c r="I22" s="525"/>
      <c r="J22" s="525"/>
      <c r="K22" s="526">
        <f t="shared" si="5"/>
        <v>0</v>
      </c>
      <c r="L22" s="472">
        <v>5406614614.5100002</v>
      </c>
    </row>
    <row r="23" spans="1:14">
      <c r="A23" s="478">
        <v>2.2000000000000002</v>
      </c>
      <c r="B23" s="479" t="s">
        <v>269</v>
      </c>
      <c r="C23" s="525">
        <f t="shared" ref="C23:K23" si="6">SUM(C24:C27)</f>
        <v>0</v>
      </c>
      <c r="D23" s="525">
        <f t="shared" si="6"/>
        <v>5279330</v>
      </c>
      <c r="E23" s="525">
        <f t="shared" si="6"/>
        <v>661668958.14999998</v>
      </c>
      <c r="F23" s="525">
        <f t="shared" si="6"/>
        <v>147712224.5</v>
      </c>
      <c r="G23" s="525">
        <f t="shared" si="6"/>
        <v>110554342.94</v>
      </c>
      <c r="H23" s="525">
        <f t="shared" si="6"/>
        <v>34209643.280000001</v>
      </c>
      <c r="I23" s="525"/>
      <c r="J23" s="525">
        <f t="shared" si="6"/>
        <v>0</v>
      </c>
      <c r="K23" s="526">
        <f t="shared" si="6"/>
        <v>959424498.87</v>
      </c>
      <c r="L23" s="472">
        <f>+L22-L21</f>
        <v>1.9999504089355469E-2</v>
      </c>
    </row>
    <row r="24" spans="1:14">
      <c r="A24" s="1055"/>
      <c r="B24" s="479" t="s">
        <v>263</v>
      </c>
      <c r="C24" s="525"/>
      <c r="D24" s="527">
        <v>5279330</v>
      </c>
      <c r="E24" s="527">
        <v>115726179.40000001</v>
      </c>
      <c r="F24" s="525"/>
      <c r="G24" s="527">
        <v>105000313.94</v>
      </c>
      <c r="H24" s="527">
        <v>34209643.280000001</v>
      </c>
      <c r="I24" s="525"/>
      <c r="J24" s="525"/>
      <c r="K24" s="534">
        <f>SUM(D24:J24)</f>
        <v>260215466.62</v>
      </c>
      <c r="L24" s="470"/>
    </row>
    <row r="25" spans="1:14">
      <c r="A25" s="1056"/>
      <c r="B25" s="479" t="s">
        <v>261</v>
      </c>
      <c r="C25" s="525"/>
      <c r="D25" s="525"/>
      <c r="E25" s="531">
        <v>545942778.75</v>
      </c>
      <c r="F25" s="527">
        <v>147712224.5</v>
      </c>
      <c r="G25" s="525">
        <v>5554029</v>
      </c>
      <c r="H25" s="525"/>
      <c r="I25" s="525"/>
      <c r="J25" s="525"/>
      <c r="K25" s="534">
        <f t="shared" si="5"/>
        <v>699209032.25</v>
      </c>
      <c r="L25" s="470">
        <v>699209032.25</v>
      </c>
      <c r="M25" s="470">
        <f>+L25-K25</f>
        <v>0</v>
      </c>
    </row>
    <row r="26" spans="1:14">
      <c r="A26" s="1056"/>
      <c r="B26" s="479" t="s">
        <v>1045</v>
      </c>
      <c r="C26" s="525"/>
      <c r="D26" s="525"/>
      <c r="E26" s="531"/>
      <c r="F26" s="525"/>
      <c r="G26" s="525"/>
      <c r="H26" s="525"/>
      <c r="I26" s="525"/>
      <c r="J26" s="525"/>
      <c r="K26" s="526">
        <f t="shared" si="5"/>
        <v>0</v>
      </c>
      <c r="L26" s="470"/>
    </row>
    <row r="27" spans="1:14">
      <c r="A27" s="1057"/>
      <c r="B27" s="479" t="s">
        <v>1046</v>
      </c>
      <c r="C27" s="525"/>
      <c r="D27" s="525"/>
      <c r="E27" s="527"/>
      <c r="F27" s="525"/>
      <c r="G27" s="525"/>
      <c r="H27" s="525"/>
      <c r="I27" s="525"/>
      <c r="J27" s="525"/>
      <c r="K27" s="526">
        <f t="shared" si="5"/>
        <v>0</v>
      </c>
      <c r="L27" s="470"/>
      <c r="M27" s="470"/>
    </row>
    <row r="28" spans="1:14">
      <c r="A28" s="478">
        <v>2.4</v>
      </c>
      <c r="B28" s="484" t="s">
        <v>195</v>
      </c>
      <c r="C28" s="529">
        <f t="shared" ref="C28:J28" si="7">+C18+C19-C23</f>
        <v>0</v>
      </c>
      <c r="D28" s="529">
        <f t="shared" si="7"/>
        <v>2043820912.77</v>
      </c>
      <c r="E28" s="529">
        <f>+E18+E19-E23</f>
        <v>26353031600.829998</v>
      </c>
      <c r="F28" s="529">
        <f t="shared" si="7"/>
        <v>552505028.85000002</v>
      </c>
      <c r="G28" s="529">
        <f t="shared" si="7"/>
        <v>829025301.02999997</v>
      </c>
      <c r="H28" s="529">
        <f t="shared" si="7"/>
        <v>1464235757.0400002</v>
      </c>
      <c r="I28" s="529">
        <f t="shared" si="7"/>
        <v>0</v>
      </c>
      <c r="J28" s="526">
        <f t="shared" si="7"/>
        <v>255517227.52000001</v>
      </c>
      <c r="K28" s="526">
        <f>+K18+K19-K23</f>
        <v>31498135828.040005</v>
      </c>
      <c r="L28" s="470"/>
    </row>
    <row r="29" spans="1:14">
      <c r="A29" s="478">
        <v>3</v>
      </c>
      <c r="B29" s="484" t="s">
        <v>272</v>
      </c>
      <c r="C29" s="526">
        <f t="shared" ref="C29:K29" si="8">+C16-C28</f>
        <v>2576719200</v>
      </c>
      <c r="D29" s="526">
        <f t="shared" si="8"/>
        <v>21282827659.569996</v>
      </c>
      <c r="E29" s="526">
        <f>+E16-E28</f>
        <v>20787044683.830006</v>
      </c>
      <c r="F29" s="526">
        <f t="shared" si="8"/>
        <v>1193116112.9899998</v>
      </c>
      <c r="G29" s="526">
        <f t="shared" si="8"/>
        <v>1766009474.1399996</v>
      </c>
      <c r="H29" s="526">
        <f t="shared" si="8"/>
        <v>420854675.36999989</v>
      </c>
      <c r="I29" s="526">
        <f t="shared" si="8"/>
        <v>0</v>
      </c>
      <c r="J29" s="526">
        <f t="shared" si="8"/>
        <v>79040338.819999963</v>
      </c>
      <c r="K29" s="526">
        <f t="shared" si="8"/>
        <v>48105612144.719986</v>
      </c>
      <c r="L29" s="470"/>
    </row>
    <row r="30" spans="1:14">
      <c r="A30" s="434">
        <v>3.1</v>
      </c>
      <c r="B30" s="484" t="s">
        <v>194</v>
      </c>
      <c r="C30" s="526">
        <f>+C4-C18</f>
        <v>2576719200</v>
      </c>
      <c r="D30" s="526">
        <f>+D4-D18</f>
        <v>19918552539.179996</v>
      </c>
      <c r="E30" s="526">
        <f t="shared" ref="E30:K30" si="9">+E4-E18</f>
        <v>16892789459.75</v>
      </c>
      <c r="F30" s="526">
        <f t="shared" si="9"/>
        <v>1037212897.2599999</v>
      </c>
      <c r="G30" s="526">
        <f t="shared" si="9"/>
        <v>1449528813.2399998</v>
      </c>
      <c r="H30" s="526">
        <f t="shared" si="9"/>
        <v>295781550.1099999</v>
      </c>
      <c r="I30" s="526">
        <f t="shared" si="9"/>
        <v>0</v>
      </c>
      <c r="J30" s="526">
        <f t="shared" si="9"/>
        <v>98891177.619999975</v>
      </c>
      <c r="K30" s="526">
        <f t="shared" si="9"/>
        <v>42269475637.159988</v>
      </c>
      <c r="L30" s="470">
        <f>+'BL mn'!AB75-'BL mn'!AB89</f>
        <v>42269475637.160004</v>
      </c>
      <c r="M30" s="524">
        <f>+L30-K30</f>
        <v>0</v>
      </c>
    </row>
    <row r="31" spans="1:14">
      <c r="A31" s="434">
        <v>3.2</v>
      </c>
      <c r="B31" s="484" t="s">
        <v>195</v>
      </c>
      <c r="C31" s="526">
        <f>+C16-C28</f>
        <v>2576719200</v>
      </c>
      <c r="D31" s="526">
        <f>+D16-D28</f>
        <v>21282827659.569996</v>
      </c>
      <c r="E31" s="526">
        <f t="shared" ref="E31:K31" si="10">+E16-E28</f>
        <v>20787044683.830006</v>
      </c>
      <c r="F31" s="526">
        <f t="shared" si="10"/>
        <v>1193116112.9899998</v>
      </c>
      <c r="G31" s="526">
        <f t="shared" si="10"/>
        <v>1766009474.1399996</v>
      </c>
      <c r="H31" s="526">
        <f t="shared" si="10"/>
        <v>420854675.36999989</v>
      </c>
      <c r="I31" s="526">
        <f t="shared" si="10"/>
        <v>0</v>
      </c>
      <c r="J31" s="526">
        <f t="shared" si="10"/>
        <v>79040338.819999963</v>
      </c>
      <c r="K31" s="526">
        <f t="shared" si="10"/>
        <v>48105612144.719986</v>
      </c>
      <c r="L31" s="470">
        <f>+'BL mn'!N75-'BL mn'!N89</f>
        <v>48105612144.840004</v>
      </c>
      <c r="M31" s="524">
        <f>+L31-K31</f>
        <v>0.12001800537109375</v>
      </c>
    </row>
    <row r="32" spans="1:14" s="472" customFormat="1">
      <c r="A32" s="485"/>
      <c r="B32" s="486"/>
      <c r="C32" s="532">
        <v>0</v>
      </c>
      <c r="D32" s="532">
        <f>+'BL mn'!N78</f>
        <v>-2043820912.73</v>
      </c>
      <c r="E32" s="532">
        <f>+'BL mn'!N88</f>
        <v>-26353031600.790001</v>
      </c>
      <c r="F32" s="532">
        <f>+'BL mn'!N84</f>
        <v>-552505028.86000001</v>
      </c>
      <c r="G32" s="532">
        <f>+'BL mn'!N80</f>
        <v>-829025300.99000001</v>
      </c>
      <c r="H32" s="532">
        <f>+'BL mn'!N82</f>
        <v>-1464235757</v>
      </c>
      <c r="I32" s="532"/>
      <c r="J32" s="532">
        <f>+'BL mn'!N86</f>
        <v>-255517227.53999999</v>
      </c>
      <c r="K32" s="532"/>
    </row>
    <row r="33" spans="1:12" s="472" customFormat="1" ht="12.75" hidden="1" customHeight="1">
      <c r="A33" s="485"/>
      <c r="B33" s="486"/>
      <c r="C33" s="532"/>
      <c r="D33" s="532"/>
      <c r="E33" s="532"/>
      <c r="F33" s="532"/>
      <c r="G33" s="532"/>
      <c r="H33" s="532"/>
      <c r="I33" s="532"/>
      <c r="J33" s="532"/>
      <c r="K33" s="532"/>
    </row>
    <row r="34" spans="1:12" s="472" customFormat="1" ht="12.75" hidden="1" customHeight="1">
      <c r="A34" s="485"/>
      <c r="B34" s="486"/>
      <c r="C34" s="532"/>
      <c r="D34" s="532"/>
      <c r="E34" s="532"/>
      <c r="F34" s="532"/>
      <c r="G34" s="532"/>
      <c r="H34" s="532"/>
      <c r="I34" s="532"/>
      <c r="J34" s="532"/>
      <c r="K34" s="532"/>
    </row>
    <row r="35" spans="1:12" s="472" customFormat="1" ht="12.75" hidden="1" customHeight="1">
      <c r="A35" s="485"/>
      <c r="B35" s="486"/>
      <c r="C35" s="532"/>
      <c r="D35" s="532"/>
      <c r="E35" s="532"/>
      <c r="F35" s="532"/>
      <c r="G35" s="532"/>
      <c r="H35" s="532"/>
      <c r="I35" s="532"/>
      <c r="J35" s="532"/>
      <c r="K35" s="532"/>
    </row>
    <row r="36" spans="1:12" s="472" customFormat="1" ht="12.75" hidden="1" customHeight="1">
      <c r="A36" s="485"/>
      <c r="B36" s="486"/>
      <c r="C36" s="532"/>
      <c r="D36" s="532"/>
      <c r="E36" s="532"/>
      <c r="F36" s="532"/>
      <c r="G36" s="532"/>
      <c r="H36" s="532"/>
      <c r="I36" s="532"/>
      <c r="J36" s="532"/>
      <c r="K36" s="532"/>
    </row>
    <row r="37" spans="1:12" s="472" customFormat="1" ht="12.75" hidden="1" customHeight="1">
      <c r="A37" s="485"/>
      <c r="B37" s="486"/>
      <c r="C37" s="532"/>
      <c r="D37" s="532"/>
      <c r="E37" s="532"/>
      <c r="F37" s="532"/>
      <c r="G37" s="532"/>
      <c r="H37" s="532"/>
      <c r="I37" s="532"/>
      <c r="J37" s="532"/>
      <c r="K37" s="532"/>
    </row>
    <row r="38" spans="1:12">
      <c r="A38" s="487"/>
      <c r="B38" s="488"/>
      <c r="C38" s="532">
        <f t="shared" ref="C38:G38" si="11">+C32+C28</f>
        <v>0</v>
      </c>
      <c r="D38" s="532">
        <f t="shared" si="11"/>
        <v>3.9999961853027344E-2</v>
      </c>
      <c r="E38" s="532">
        <f t="shared" si="11"/>
        <v>3.9997100830078125E-2</v>
      </c>
      <c r="F38" s="532">
        <f t="shared" si="11"/>
        <v>-9.9999904632568359E-3</v>
      </c>
      <c r="G38" s="532">
        <f t="shared" si="11"/>
        <v>3.9999961853027344E-2</v>
      </c>
      <c r="H38" s="532">
        <f>+H32+H28</f>
        <v>4.0000200271606445E-2</v>
      </c>
      <c r="I38" s="532">
        <f t="shared" ref="I38" si="12">+I32-I16</f>
        <v>0</v>
      </c>
      <c r="J38" s="532">
        <f>+J32+J28</f>
        <v>-1.9999980926513672E-2</v>
      </c>
      <c r="K38" s="532"/>
      <c r="L38" s="470"/>
    </row>
    <row r="39" spans="1:12">
      <c r="A39" s="396" t="s">
        <v>273</v>
      </c>
      <c r="B39" s="397"/>
      <c r="C39" s="398"/>
      <c r="D39" s="398"/>
      <c r="E39" s="398"/>
      <c r="F39" s="398"/>
      <c r="G39" s="398"/>
      <c r="H39" s="398"/>
      <c r="I39" s="398"/>
      <c r="J39" s="398"/>
      <c r="K39" s="398"/>
    </row>
    <row r="40" spans="1:12">
      <c r="A40" s="487"/>
      <c r="B40" s="488"/>
      <c r="C40" s="447"/>
      <c r="D40" s="447"/>
      <c r="E40" s="447"/>
      <c r="F40" s="447"/>
      <c r="G40" s="447"/>
      <c r="H40" s="447"/>
      <c r="I40" s="447"/>
      <c r="J40" s="447"/>
      <c r="K40" s="447"/>
    </row>
    <row r="41" spans="1:12">
      <c r="A41" s="473" t="s">
        <v>79</v>
      </c>
      <c r="B41" s="473" t="s">
        <v>5</v>
      </c>
      <c r="C41" s="474" t="s">
        <v>274</v>
      </c>
      <c r="D41" s="474" t="s">
        <v>1098</v>
      </c>
      <c r="E41" s="474" t="s">
        <v>276</v>
      </c>
      <c r="F41" s="474" t="s">
        <v>277</v>
      </c>
      <c r="G41" s="474" t="s">
        <v>278</v>
      </c>
      <c r="H41" s="474" t="s">
        <v>279</v>
      </c>
      <c r="I41" s="474"/>
      <c r="J41" s="474"/>
      <c r="K41" s="474" t="s">
        <v>281</v>
      </c>
    </row>
    <row r="42" spans="1:12">
      <c r="A42" s="489">
        <v>1</v>
      </c>
      <c r="B42" s="475" t="s">
        <v>282</v>
      </c>
      <c r="C42" s="482"/>
      <c r="D42" s="482"/>
      <c r="E42" s="482"/>
      <c r="F42" s="482"/>
      <c r="G42" s="482"/>
      <c r="H42" s="482"/>
      <c r="I42" s="482"/>
      <c r="J42" s="482"/>
      <c r="K42" s="480"/>
    </row>
    <row r="43" spans="1:12">
      <c r="A43" s="490">
        <v>1.1000000000000001</v>
      </c>
      <c r="B43" s="484" t="s">
        <v>194</v>
      </c>
      <c r="C43" s="480">
        <v>0</v>
      </c>
      <c r="D43" s="526">
        <v>115905258.71000001</v>
      </c>
      <c r="E43" s="526">
        <v>0</v>
      </c>
      <c r="F43" s="526">
        <v>141869457.94</v>
      </c>
      <c r="G43" s="480">
        <v>0</v>
      </c>
      <c r="H43" s="480">
        <v>0</v>
      </c>
      <c r="I43" s="480"/>
      <c r="J43" s="480">
        <v>0</v>
      </c>
      <c r="K43" s="480">
        <f>SUM(D43:J43)</f>
        <v>257774716.65000001</v>
      </c>
    </row>
    <row r="44" spans="1:12" ht="10.8">
      <c r="A44" s="490">
        <v>1.2</v>
      </c>
      <c r="B44" s="491" t="s">
        <v>233</v>
      </c>
      <c r="C44" s="480">
        <v>0</v>
      </c>
      <c r="D44" s="526">
        <f t="shared" ref="D44:J44" si="13">SUM(D45:D48)</f>
        <v>38502229.799999997</v>
      </c>
      <c r="E44" s="526">
        <f t="shared" si="13"/>
        <v>0</v>
      </c>
      <c r="F44" s="526">
        <f t="shared" si="13"/>
        <v>0</v>
      </c>
      <c r="G44" s="480">
        <f t="shared" si="13"/>
        <v>0</v>
      </c>
      <c r="H44" s="480">
        <f t="shared" si="13"/>
        <v>0</v>
      </c>
      <c r="I44" s="480"/>
      <c r="J44" s="480">
        <f t="shared" si="13"/>
        <v>0</v>
      </c>
      <c r="K44" s="480">
        <f t="shared" ref="K44:K67" si="14">SUM(D44:J44)</f>
        <v>38502229.799999997</v>
      </c>
    </row>
    <row r="45" spans="1:12">
      <c r="A45" s="490"/>
      <c r="B45" s="479" t="s">
        <v>257</v>
      </c>
      <c r="C45" s="482"/>
      <c r="D45" s="525"/>
      <c r="E45" s="525"/>
      <c r="F45" s="525"/>
      <c r="G45" s="482"/>
      <c r="H45" s="482"/>
      <c r="I45" s="482"/>
      <c r="J45" s="482"/>
      <c r="K45" s="480">
        <f t="shared" si="14"/>
        <v>0</v>
      </c>
    </row>
    <row r="46" spans="1:12">
      <c r="A46" s="490"/>
      <c r="B46" s="479" t="s">
        <v>258</v>
      </c>
      <c r="C46" s="482"/>
      <c r="D46" s="525">
        <v>5233339.9000000004</v>
      </c>
      <c r="E46" s="525"/>
      <c r="F46" s="525"/>
      <c r="G46" s="482"/>
      <c r="H46" s="482"/>
      <c r="I46" s="482"/>
      <c r="J46" s="482"/>
      <c r="K46" s="480">
        <f t="shared" si="14"/>
        <v>5233339.9000000004</v>
      </c>
    </row>
    <row r="47" spans="1:12">
      <c r="A47" s="490"/>
      <c r="B47" s="479" t="s">
        <v>259</v>
      </c>
      <c r="C47" s="482"/>
      <c r="D47" s="525"/>
      <c r="E47" s="525"/>
      <c r="F47" s="525"/>
      <c r="G47" s="482"/>
      <c r="H47" s="482"/>
      <c r="I47" s="482"/>
      <c r="J47" s="482"/>
      <c r="K47" s="480">
        <f t="shared" si="14"/>
        <v>0</v>
      </c>
    </row>
    <row r="48" spans="1:12" ht="15.75" customHeight="1">
      <c r="A48" s="490"/>
      <c r="B48" s="483" t="s">
        <v>1043</v>
      </c>
      <c r="C48" s="482"/>
      <c r="D48" s="525">
        <v>33268889.899999999</v>
      </c>
      <c r="E48" s="525"/>
      <c r="F48" s="525"/>
      <c r="G48" s="482"/>
      <c r="H48" s="482"/>
      <c r="I48" s="482"/>
      <c r="J48" s="482"/>
      <c r="K48" s="480">
        <f t="shared" si="14"/>
        <v>33268889.899999999</v>
      </c>
    </row>
    <row r="49" spans="1:11">
      <c r="A49" s="490">
        <v>1.3</v>
      </c>
      <c r="B49" s="492" t="s">
        <v>269</v>
      </c>
      <c r="C49" s="482">
        <v>0</v>
      </c>
      <c r="D49" s="525">
        <f t="shared" ref="D49:J49" si="15">SUM(D50:D52)</f>
        <v>0</v>
      </c>
      <c r="E49" s="525">
        <f t="shared" si="15"/>
        <v>0</v>
      </c>
      <c r="F49" s="525">
        <f t="shared" si="15"/>
        <v>0</v>
      </c>
      <c r="G49" s="482">
        <f t="shared" si="15"/>
        <v>0</v>
      </c>
      <c r="H49" s="482">
        <f t="shared" si="15"/>
        <v>0</v>
      </c>
      <c r="I49" s="482"/>
      <c r="J49" s="482">
        <f t="shared" si="15"/>
        <v>0</v>
      </c>
      <c r="K49" s="480">
        <f>SUM(D49:J49)</f>
        <v>0</v>
      </c>
    </row>
    <row r="50" spans="1:11">
      <c r="A50" s="490"/>
      <c r="B50" s="479" t="s">
        <v>261</v>
      </c>
      <c r="C50" s="482"/>
      <c r="D50" s="525"/>
      <c r="E50" s="525"/>
      <c r="F50" s="525"/>
      <c r="G50" s="482"/>
      <c r="H50" s="482"/>
      <c r="I50" s="482"/>
      <c r="J50" s="482"/>
      <c r="K50" s="480">
        <f t="shared" si="14"/>
        <v>0</v>
      </c>
    </row>
    <row r="51" spans="1:11">
      <c r="A51" s="490"/>
      <c r="B51" s="479" t="s">
        <v>1048</v>
      </c>
      <c r="C51" s="482"/>
      <c r="D51" s="525"/>
      <c r="E51" s="525"/>
      <c r="F51" s="525"/>
      <c r="G51" s="482"/>
      <c r="H51" s="482"/>
      <c r="I51" s="482"/>
      <c r="J51" s="482"/>
      <c r="K51" s="480">
        <f t="shared" si="14"/>
        <v>0</v>
      </c>
    </row>
    <row r="52" spans="1:11">
      <c r="A52" s="490"/>
      <c r="B52" s="479" t="s">
        <v>283</v>
      </c>
      <c r="C52" s="482"/>
      <c r="D52" s="525"/>
      <c r="E52" s="525"/>
      <c r="F52" s="525"/>
      <c r="G52" s="482"/>
      <c r="H52" s="482"/>
      <c r="I52" s="482"/>
      <c r="J52" s="482"/>
      <c r="K52" s="480">
        <f t="shared" si="14"/>
        <v>0</v>
      </c>
    </row>
    <row r="53" spans="1:11">
      <c r="A53" s="490">
        <v>1.4</v>
      </c>
      <c r="B53" s="484" t="s">
        <v>195</v>
      </c>
      <c r="C53" s="480">
        <f>+C43+C44-C49</f>
        <v>0</v>
      </c>
      <c r="D53" s="526">
        <f t="shared" ref="D53:J53" si="16">+D43+D44-D49</f>
        <v>154407488.50999999</v>
      </c>
      <c r="E53" s="526">
        <f t="shared" si="16"/>
        <v>0</v>
      </c>
      <c r="F53" s="526">
        <f t="shared" si="16"/>
        <v>141869457.94</v>
      </c>
      <c r="G53" s="480">
        <f t="shared" si="16"/>
        <v>0</v>
      </c>
      <c r="H53" s="480">
        <f t="shared" si="16"/>
        <v>0</v>
      </c>
      <c r="I53" s="480"/>
      <c r="J53" s="480">
        <f t="shared" si="16"/>
        <v>0</v>
      </c>
      <c r="K53" s="480">
        <f>SUM(D53:J53)</f>
        <v>296276946.44999999</v>
      </c>
    </row>
    <row r="54" spans="1:11">
      <c r="A54" s="489">
        <v>2</v>
      </c>
      <c r="B54" s="475" t="s">
        <v>284</v>
      </c>
      <c r="C54" s="482"/>
      <c r="D54" s="525"/>
      <c r="E54" s="525"/>
      <c r="F54" s="525"/>
      <c r="G54" s="482"/>
      <c r="H54" s="482"/>
      <c r="I54" s="482"/>
      <c r="J54" s="482"/>
      <c r="K54" s="480">
        <f t="shared" si="14"/>
        <v>0</v>
      </c>
    </row>
    <row r="55" spans="1:11">
      <c r="A55" s="490">
        <v>2.1</v>
      </c>
      <c r="B55" s="484" t="s">
        <v>194</v>
      </c>
      <c r="C55" s="480">
        <v>0</v>
      </c>
      <c r="D55" s="526">
        <v>19964397.589996338</v>
      </c>
      <c r="E55" s="526">
        <v>0</v>
      </c>
      <c r="F55" s="526">
        <v>1068675.6000000001</v>
      </c>
      <c r="G55" s="480">
        <v>0</v>
      </c>
      <c r="H55" s="480">
        <v>0</v>
      </c>
      <c r="I55" s="480"/>
      <c r="J55" s="480">
        <v>0</v>
      </c>
      <c r="K55" s="480">
        <f>SUM(D55:J55)</f>
        <v>21033073.189996339</v>
      </c>
    </row>
    <row r="56" spans="1:11" ht="10.8">
      <c r="A56" s="490">
        <v>2.2000000000000002</v>
      </c>
      <c r="B56" s="491" t="s">
        <v>233</v>
      </c>
      <c r="C56" s="480">
        <f>+C57+C58+C59</f>
        <v>0</v>
      </c>
      <c r="D56" s="526">
        <f t="shared" ref="D56:K56" si="17">+D57+D58+D59</f>
        <v>55451268.460000001</v>
      </c>
      <c r="E56" s="526">
        <f t="shared" si="17"/>
        <v>0</v>
      </c>
      <c r="F56" s="526">
        <f t="shared" si="17"/>
        <v>50828594.460000001</v>
      </c>
      <c r="G56" s="480">
        <f t="shared" si="17"/>
        <v>0</v>
      </c>
      <c r="H56" s="480">
        <f t="shared" si="17"/>
        <v>0</v>
      </c>
      <c r="I56" s="480">
        <f t="shared" si="17"/>
        <v>0</v>
      </c>
      <c r="J56" s="480">
        <f t="shared" si="17"/>
        <v>0</v>
      </c>
      <c r="K56" s="480">
        <f t="shared" si="17"/>
        <v>106279862.92</v>
      </c>
    </row>
    <row r="57" spans="1:11">
      <c r="A57" s="490"/>
      <c r="B57" s="479" t="s">
        <v>285</v>
      </c>
      <c r="C57" s="482"/>
      <c r="D57" s="525">
        <v>55451268.460000001</v>
      </c>
      <c r="E57" s="525"/>
      <c r="F57" s="525">
        <v>50828594.460000001</v>
      </c>
      <c r="G57" s="482"/>
      <c r="H57" s="482"/>
      <c r="I57" s="482"/>
      <c r="J57" s="482"/>
      <c r="K57" s="480">
        <f t="shared" si="14"/>
        <v>106279862.92</v>
      </c>
    </row>
    <row r="58" spans="1:11">
      <c r="A58" s="490"/>
      <c r="B58" s="483" t="s">
        <v>286</v>
      </c>
      <c r="C58" s="482"/>
      <c r="D58" s="525"/>
      <c r="E58" s="525"/>
      <c r="F58" s="525"/>
      <c r="G58" s="482"/>
      <c r="H58" s="482"/>
      <c r="I58" s="482"/>
      <c r="J58" s="482"/>
      <c r="K58" s="480">
        <f t="shared" si="14"/>
        <v>0</v>
      </c>
    </row>
    <row r="59" spans="1:11">
      <c r="A59" s="490"/>
      <c r="B59" s="483" t="s">
        <v>268</v>
      </c>
      <c r="C59" s="482"/>
      <c r="D59" s="525"/>
      <c r="E59" s="525"/>
      <c r="F59" s="525"/>
      <c r="G59" s="482"/>
      <c r="H59" s="482"/>
      <c r="I59" s="482"/>
      <c r="J59" s="482"/>
      <c r="K59" s="480">
        <f t="shared" si="14"/>
        <v>0</v>
      </c>
    </row>
    <row r="60" spans="1:11">
      <c r="A60" s="490">
        <v>2.2999999999999998</v>
      </c>
      <c r="B60" s="479" t="s">
        <v>269</v>
      </c>
      <c r="C60" s="482">
        <v>0</v>
      </c>
      <c r="D60" s="525">
        <v>0</v>
      </c>
      <c r="E60" s="525">
        <v>0</v>
      </c>
      <c r="F60" s="525">
        <v>0</v>
      </c>
      <c r="G60" s="482">
        <v>0</v>
      </c>
      <c r="H60" s="482">
        <v>0</v>
      </c>
      <c r="I60" s="482"/>
      <c r="J60" s="482">
        <v>0</v>
      </c>
      <c r="K60" s="480">
        <f t="shared" si="14"/>
        <v>0</v>
      </c>
    </row>
    <row r="61" spans="1:11">
      <c r="A61" s="490"/>
      <c r="B61" s="483" t="s">
        <v>287</v>
      </c>
      <c r="C61" s="482"/>
      <c r="D61" s="525"/>
      <c r="E61" s="525"/>
      <c r="F61" s="525"/>
      <c r="G61" s="482"/>
      <c r="H61" s="482"/>
      <c r="I61" s="482"/>
      <c r="J61" s="482"/>
      <c r="K61" s="480">
        <f t="shared" si="14"/>
        <v>0</v>
      </c>
    </row>
    <row r="62" spans="1:11">
      <c r="A62" s="490"/>
      <c r="B62" s="483" t="s">
        <v>270</v>
      </c>
      <c r="C62" s="482"/>
      <c r="D62" s="525"/>
      <c r="E62" s="525"/>
      <c r="F62" s="525"/>
      <c r="G62" s="482"/>
      <c r="H62" s="482"/>
      <c r="I62" s="482"/>
      <c r="J62" s="482"/>
      <c r="K62" s="480">
        <f t="shared" si="14"/>
        <v>0</v>
      </c>
    </row>
    <row r="63" spans="1:11">
      <c r="A63" s="490"/>
      <c r="B63" s="479" t="s">
        <v>271</v>
      </c>
      <c r="C63" s="482"/>
      <c r="D63" s="525"/>
      <c r="E63" s="525"/>
      <c r="F63" s="525"/>
      <c r="G63" s="482"/>
      <c r="H63" s="482"/>
      <c r="I63" s="482"/>
      <c r="J63" s="482"/>
      <c r="K63" s="480">
        <f t="shared" si="14"/>
        <v>0</v>
      </c>
    </row>
    <row r="64" spans="1:11">
      <c r="A64" s="490">
        <v>2.4</v>
      </c>
      <c r="B64" s="484" t="s">
        <v>195</v>
      </c>
      <c r="C64" s="480">
        <f>+C55+C56-C60</f>
        <v>0</v>
      </c>
      <c r="D64" s="526">
        <f t="shared" ref="D64:J64" si="18">+D55+D56-D60</f>
        <v>75415666.049996346</v>
      </c>
      <c r="E64" s="526">
        <f t="shared" si="18"/>
        <v>0</v>
      </c>
      <c r="F64" s="526">
        <f t="shared" si="18"/>
        <v>51897270.060000002</v>
      </c>
      <c r="G64" s="480">
        <f t="shared" si="18"/>
        <v>0</v>
      </c>
      <c r="H64" s="480">
        <f t="shared" si="18"/>
        <v>0</v>
      </c>
      <c r="I64" s="480"/>
      <c r="J64" s="480">
        <f t="shared" si="18"/>
        <v>0</v>
      </c>
      <c r="K64" s="480">
        <f t="shared" si="14"/>
        <v>127312936.10999635</v>
      </c>
    </row>
    <row r="65" spans="1:11">
      <c r="A65" s="478">
        <v>3</v>
      </c>
      <c r="B65" s="484" t="s">
        <v>272</v>
      </c>
      <c r="C65" s="480">
        <f>+C53-C64</f>
        <v>0</v>
      </c>
      <c r="D65" s="526">
        <f t="shared" ref="D65:J65" si="19">+D53-D64</f>
        <v>78991822.460003644</v>
      </c>
      <c r="E65" s="526">
        <f t="shared" si="19"/>
        <v>0</v>
      </c>
      <c r="F65" s="526">
        <f t="shared" si="19"/>
        <v>89972187.879999995</v>
      </c>
      <c r="G65" s="480">
        <f t="shared" si="19"/>
        <v>0</v>
      </c>
      <c r="H65" s="480">
        <f t="shared" si="19"/>
        <v>0</v>
      </c>
      <c r="I65" s="480"/>
      <c r="J65" s="480">
        <f t="shared" si="19"/>
        <v>0</v>
      </c>
      <c r="K65" s="480">
        <f t="shared" si="14"/>
        <v>168964010.34000364</v>
      </c>
    </row>
    <row r="66" spans="1:11">
      <c r="A66" s="478">
        <v>3.1</v>
      </c>
      <c r="B66" s="484" t="s">
        <v>288</v>
      </c>
      <c r="C66" s="480">
        <v>0</v>
      </c>
      <c r="D66" s="526"/>
      <c r="E66" s="526">
        <f t="shared" ref="E66:J66" si="20">+E43-E55</f>
        <v>0</v>
      </c>
      <c r="F66" s="526">
        <f t="shared" si="20"/>
        <v>140800782.34</v>
      </c>
      <c r="G66" s="480">
        <f t="shared" si="20"/>
        <v>0</v>
      </c>
      <c r="H66" s="480">
        <f t="shared" si="20"/>
        <v>0</v>
      </c>
      <c r="I66" s="480"/>
      <c r="J66" s="480">
        <f t="shared" si="20"/>
        <v>0</v>
      </c>
      <c r="K66" s="480">
        <f t="shared" si="14"/>
        <v>140800782.34</v>
      </c>
    </row>
    <row r="67" spans="1:11">
      <c r="A67" s="478">
        <v>3.2</v>
      </c>
      <c r="B67" s="484" t="s">
        <v>289</v>
      </c>
      <c r="C67" s="480">
        <v>0</v>
      </c>
      <c r="D67" s="526">
        <f t="shared" ref="D67:J67" si="21">+D53-D64</f>
        <v>78991822.460003644</v>
      </c>
      <c r="E67" s="526">
        <f t="shared" si="21"/>
        <v>0</v>
      </c>
      <c r="F67" s="526">
        <f t="shared" si="21"/>
        <v>89972187.879999995</v>
      </c>
      <c r="G67" s="480">
        <f t="shared" si="21"/>
        <v>0</v>
      </c>
      <c r="H67" s="480">
        <f t="shared" si="21"/>
        <v>0</v>
      </c>
      <c r="I67" s="480"/>
      <c r="J67" s="480">
        <f t="shared" si="21"/>
        <v>0</v>
      </c>
      <c r="K67" s="480">
        <f t="shared" si="14"/>
        <v>168964010.34000364</v>
      </c>
    </row>
    <row r="68" spans="1:11">
      <c r="A68" s="487"/>
      <c r="B68" s="488"/>
      <c r="C68" s="447"/>
      <c r="D68" s="532">
        <f>+'BL mn'!N92+'BL mn'!N93</f>
        <v>78991822.460000008</v>
      </c>
      <c r="E68" s="532"/>
      <c r="F68" s="532">
        <f>+'BL mn'!N94+'BL mn'!N95</f>
        <v>89972187.919999987</v>
      </c>
      <c r="G68" s="447"/>
      <c r="H68" s="447"/>
      <c r="I68" s="447"/>
      <c r="J68" s="447"/>
      <c r="K68" s="447"/>
    </row>
    <row r="69" spans="1:11">
      <c r="A69" s="487"/>
      <c r="B69" s="488"/>
      <c r="C69" s="447"/>
      <c r="D69" s="532">
        <f>+D68-D67</f>
        <v>-3.6358833312988281E-6</v>
      </c>
      <c r="E69" s="532"/>
      <c r="F69" s="532">
        <f>+F68-F67</f>
        <v>3.9999991655349731E-2</v>
      </c>
      <c r="G69" s="447"/>
      <c r="H69" s="447"/>
      <c r="I69" s="447"/>
      <c r="J69" s="447"/>
      <c r="K69" s="447"/>
    </row>
    <row r="70" spans="1:11">
      <c r="A70" s="487"/>
      <c r="B70" s="488"/>
      <c r="C70" s="447"/>
      <c r="D70" s="532">
        <f>+'BL mn'!N92</f>
        <v>244219264.28999999</v>
      </c>
      <c r="E70" s="532"/>
      <c r="F70" s="532">
        <f>+'BL mn'!N94</f>
        <v>141869457.94</v>
      </c>
      <c r="G70" s="447"/>
      <c r="H70" s="447"/>
      <c r="I70" s="447"/>
      <c r="J70" s="447"/>
      <c r="K70" s="447"/>
    </row>
    <row r="71" spans="1:11">
      <c r="A71" s="487"/>
      <c r="B71" s="488"/>
      <c r="C71" s="447"/>
      <c r="D71" s="447">
        <f>+D70-D43</f>
        <v>128314005.57999998</v>
      </c>
      <c r="E71" s="447"/>
      <c r="F71" s="447">
        <f>+F70-F43</f>
        <v>0</v>
      </c>
      <c r="G71" s="447"/>
      <c r="H71" s="447"/>
      <c r="I71" s="447"/>
      <c r="J71" s="447"/>
      <c r="K71" s="447"/>
    </row>
    <row r="72" spans="1:11">
      <c r="A72" s="487"/>
      <c r="B72" s="488"/>
      <c r="C72" s="447"/>
      <c r="D72" s="447">
        <f>+'BL mn'!AB93</f>
        <v>-109776173.37</v>
      </c>
      <c r="E72" s="447">
        <f>+D72-D55</f>
        <v>-129740570.95999634</v>
      </c>
      <c r="F72" s="447">
        <f>+'BL mn'!AB95</f>
        <v>-1068675.56</v>
      </c>
      <c r="G72" s="447">
        <f>+F72-F55</f>
        <v>-2137351.16</v>
      </c>
      <c r="H72" s="447"/>
      <c r="I72" s="447"/>
      <c r="J72" s="447"/>
      <c r="K72" s="447"/>
    </row>
    <row r="73" spans="1:11">
      <c r="A73" s="396" t="s">
        <v>290</v>
      </c>
      <c r="B73" s="397"/>
      <c r="C73" s="398"/>
      <c r="D73" s="398"/>
      <c r="E73" s="398"/>
      <c r="F73" s="398"/>
      <c r="G73" s="398"/>
      <c r="H73" s="398"/>
      <c r="I73" s="398"/>
      <c r="J73" s="398"/>
      <c r="K73" s="398"/>
    </row>
    <row r="74" spans="1:11">
      <c r="A74" s="487"/>
      <c r="B74" s="488"/>
      <c r="C74" s="447"/>
      <c r="D74" s="447"/>
      <c r="E74" s="447"/>
      <c r="F74" s="447"/>
      <c r="G74" s="447"/>
      <c r="H74" s="447"/>
      <c r="I74" s="447"/>
      <c r="J74" s="447"/>
      <c r="K74" s="447"/>
    </row>
    <row r="75" spans="1:11" ht="12.75" customHeight="1">
      <c r="A75" s="493" t="s">
        <v>192</v>
      </c>
      <c r="B75" s="494" t="s">
        <v>291</v>
      </c>
      <c r="C75" s="495"/>
      <c r="D75" s="1058" t="s">
        <v>292</v>
      </c>
      <c r="E75" s="1059"/>
      <c r="F75" s="474" t="s">
        <v>293</v>
      </c>
      <c r="G75" s="1058" t="s">
        <v>294</v>
      </c>
      <c r="H75" s="1059"/>
      <c r="I75" s="495"/>
      <c r="J75" s="1058" t="s">
        <v>295</v>
      </c>
      <c r="K75" s="1059"/>
    </row>
    <row r="76" spans="1:11">
      <c r="A76" s="478">
        <v>1</v>
      </c>
      <c r="B76" s="1042"/>
      <c r="C76" s="1044"/>
      <c r="D76" s="1060"/>
      <c r="E76" s="1061"/>
      <c r="F76" s="496"/>
      <c r="G76" s="1064"/>
      <c r="H76" s="1065"/>
      <c r="I76" s="497"/>
      <c r="J76" s="1060"/>
      <c r="K76" s="1061"/>
    </row>
    <row r="77" spans="1:11">
      <c r="A77" s="1045" t="s">
        <v>82</v>
      </c>
      <c r="B77" s="1046"/>
      <c r="C77" s="1047"/>
      <c r="D77" s="1052"/>
      <c r="E77" s="1053"/>
      <c r="F77" s="498"/>
      <c r="G77" s="1066">
        <f>SUM(G76)</f>
        <v>0</v>
      </c>
      <c r="H77" s="1067"/>
      <c r="I77" s="499"/>
      <c r="J77" s="1052"/>
      <c r="K77" s="1053"/>
    </row>
    <row r="78" spans="1:11">
      <c r="A78" s="500"/>
      <c r="B78" s="501"/>
      <c r="C78" s="502"/>
      <c r="D78" s="503"/>
      <c r="E78" s="503"/>
      <c r="F78" s="503"/>
      <c r="G78" s="503"/>
      <c r="H78" s="503"/>
      <c r="I78" s="504"/>
      <c r="J78" s="504"/>
      <c r="K78" s="504"/>
    </row>
    <row r="79" spans="1:11">
      <c r="A79" s="396" t="s">
        <v>296</v>
      </c>
      <c r="B79" s="397"/>
      <c r="C79" s="398"/>
      <c r="D79" s="398"/>
      <c r="E79" s="398"/>
      <c r="F79" s="398"/>
      <c r="G79" s="398"/>
      <c r="H79" s="398"/>
      <c r="I79" s="398"/>
      <c r="J79" s="398"/>
      <c r="K79" s="398"/>
    </row>
    <row r="80" spans="1:11">
      <c r="A80" s="487"/>
      <c r="B80" s="505"/>
      <c r="C80" s="506"/>
      <c r="D80" s="504"/>
      <c r="E80" s="504"/>
      <c r="F80" s="504"/>
      <c r="G80" s="504"/>
      <c r="H80" s="504"/>
      <c r="I80" s="504"/>
      <c r="J80" s="504"/>
      <c r="K80" s="504"/>
    </row>
    <row r="81" spans="1:11">
      <c r="A81" s="1062" t="s">
        <v>192</v>
      </c>
      <c r="B81" s="1040" t="s">
        <v>297</v>
      </c>
      <c r="C81" s="1040"/>
      <c r="D81" s="1040"/>
      <c r="E81" s="1041" t="s">
        <v>194</v>
      </c>
      <c r="F81" s="1041"/>
      <c r="G81" s="1041" t="s">
        <v>195</v>
      </c>
      <c r="H81" s="1041"/>
      <c r="I81" s="507"/>
      <c r="J81" s="447"/>
      <c r="K81" s="447"/>
    </row>
    <row r="82" spans="1:11">
      <c r="A82" s="1062"/>
      <c r="B82" s="1040"/>
      <c r="C82" s="1040"/>
      <c r="D82" s="1040"/>
      <c r="E82" s="508" t="s">
        <v>298</v>
      </c>
      <c r="F82" s="508" t="s">
        <v>299</v>
      </c>
      <c r="G82" s="508" t="s">
        <v>298</v>
      </c>
      <c r="H82" s="508" t="s">
        <v>299</v>
      </c>
      <c r="I82" s="507"/>
      <c r="J82" s="447"/>
      <c r="K82" s="447"/>
    </row>
    <row r="83" spans="1:11">
      <c r="A83" s="478">
        <v>1</v>
      </c>
      <c r="B83" s="1042"/>
      <c r="C83" s="1043"/>
      <c r="D83" s="1044"/>
      <c r="E83" s="476"/>
      <c r="F83" s="476"/>
      <c r="G83" s="476"/>
      <c r="H83" s="476"/>
      <c r="I83" s="509"/>
      <c r="J83" s="447"/>
      <c r="K83" s="447"/>
    </row>
    <row r="84" spans="1:11">
      <c r="A84" s="1045" t="s">
        <v>82</v>
      </c>
      <c r="B84" s="1046"/>
      <c r="C84" s="1046"/>
      <c r="D84" s="1047"/>
      <c r="E84" s="477">
        <v>0</v>
      </c>
      <c r="F84" s="477">
        <v>0</v>
      </c>
      <c r="G84" s="477">
        <v>0</v>
      </c>
      <c r="H84" s="477">
        <v>0</v>
      </c>
      <c r="I84" s="510"/>
      <c r="J84" s="447"/>
      <c r="K84" s="447"/>
    </row>
    <row r="85" spans="1:11">
      <c r="A85" s="487"/>
      <c r="B85" s="505"/>
      <c r="C85" s="506"/>
      <c r="D85" s="506"/>
      <c r="E85" s="509"/>
      <c r="F85" s="509"/>
      <c r="G85" s="509"/>
      <c r="H85" s="509"/>
      <c r="I85" s="509"/>
      <c r="J85" s="447"/>
      <c r="K85" s="447"/>
    </row>
    <row r="86" spans="1:11">
      <c r="A86" s="1063" t="s">
        <v>300</v>
      </c>
      <c r="B86" s="1063"/>
      <c r="C86" s="1063"/>
      <c r="D86" s="1063"/>
      <c r="E86" s="1063"/>
      <c r="F86" s="1063"/>
      <c r="G86" s="1063"/>
      <c r="H86" s="1063"/>
      <c r="I86" s="1063"/>
      <c r="J86" s="1063"/>
      <c r="K86" s="1063"/>
    </row>
    <row r="87" spans="1:11">
      <c r="A87" s="511"/>
      <c r="B87" s="511"/>
      <c r="C87" s="512"/>
      <c r="D87" s="512"/>
      <c r="E87" s="512"/>
      <c r="F87" s="512"/>
      <c r="G87" s="512"/>
      <c r="H87" s="512"/>
      <c r="I87" s="512"/>
      <c r="J87" s="512"/>
      <c r="K87" s="512"/>
    </row>
    <row r="88" spans="1:11">
      <c r="A88" s="511"/>
      <c r="B88" s="511"/>
      <c r="C88" s="512"/>
      <c r="D88" s="512"/>
      <c r="E88" s="512"/>
      <c r="F88" s="512"/>
      <c r="G88" s="512"/>
      <c r="H88" s="512"/>
      <c r="I88" s="512"/>
      <c r="J88" s="512"/>
      <c r="K88" s="512"/>
    </row>
    <row r="89" spans="1:11">
      <c r="A89" s="487"/>
      <c r="B89" s="505"/>
      <c r="C89" s="506"/>
      <c r="D89" s="504"/>
      <c r="E89" s="504"/>
      <c r="F89" s="504"/>
      <c r="G89" s="504"/>
      <c r="H89" s="504"/>
      <c r="I89" s="504"/>
      <c r="J89" s="504"/>
      <c r="K89" s="504"/>
    </row>
    <row r="90" spans="1:11">
      <c r="A90" s="396" t="s">
        <v>301</v>
      </c>
      <c r="B90" s="397"/>
      <c r="C90" s="398"/>
      <c r="D90" s="398"/>
      <c r="E90" s="398"/>
      <c r="F90" s="398"/>
      <c r="G90" s="398"/>
      <c r="H90" s="398"/>
      <c r="I90" s="398"/>
      <c r="J90" s="398"/>
      <c r="K90" s="398"/>
    </row>
    <row r="91" spans="1:11">
      <c r="A91" s="487"/>
      <c r="B91" s="505"/>
      <c r="C91" s="506"/>
      <c r="D91" s="504"/>
      <c r="E91" s="504"/>
      <c r="F91" s="504"/>
      <c r="G91" s="504"/>
      <c r="H91" s="504"/>
      <c r="I91" s="504"/>
      <c r="J91" s="504"/>
      <c r="K91" s="504"/>
    </row>
    <row r="92" spans="1:11">
      <c r="A92" s="1048" t="s">
        <v>192</v>
      </c>
      <c r="B92" s="1040" t="s">
        <v>302</v>
      </c>
      <c r="C92" s="1040"/>
      <c r="D92" s="1040"/>
      <c r="E92" s="1041" t="s">
        <v>194</v>
      </c>
      <c r="F92" s="1041"/>
      <c r="G92" s="1041" t="s">
        <v>195</v>
      </c>
      <c r="H92" s="1041"/>
      <c r="I92" s="507"/>
      <c r="J92" s="447"/>
      <c r="K92" s="447"/>
    </row>
    <row r="93" spans="1:11">
      <c r="A93" s="1048"/>
      <c r="B93" s="1040"/>
      <c r="C93" s="1040"/>
      <c r="D93" s="1040"/>
      <c r="E93" s="474" t="s">
        <v>303</v>
      </c>
      <c r="F93" s="474" t="s">
        <v>304</v>
      </c>
      <c r="G93" s="474" t="s">
        <v>303</v>
      </c>
      <c r="H93" s="474" t="s">
        <v>304</v>
      </c>
      <c r="I93" s="513"/>
      <c r="J93" s="447"/>
      <c r="K93" s="447"/>
    </row>
    <row r="94" spans="1:11">
      <c r="A94" s="478">
        <v>1</v>
      </c>
      <c r="B94" s="1042" t="s">
        <v>19</v>
      </c>
      <c r="C94" s="1043"/>
      <c r="D94" s="1044"/>
      <c r="E94" s="476"/>
      <c r="F94" s="476"/>
      <c r="G94" s="476"/>
      <c r="H94" s="476"/>
      <c r="I94" s="509"/>
      <c r="J94" s="447"/>
      <c r="K94" s="447"/>
    </row>
    <row r="95" spans="1:11">
      <c r="A95" s="1045" t="s">
        <v>82</v>
      </c>
      <c r="B95" s="1046"/>
      <c r="C95" s="1046"/>
      <c r="D95" s="1047"/>
      <c r="E95" s="477"/>
      <c r="F95" s="477">
        <f>SUM(F94:F94)</f>
        <v>0</v>
      </c>
      <c r="G95" s="477"/>
      <c r="H95" s="477">
        <f>SUM(H94:H94)</f>
        <v>0</v>
      </c>
      <c r="I95" s="510"/>
      <c r="J95" s="447"/>
      <c r="K95" s="447"/>
    </row>
    <row r="96" spans="1:11">
      <c r="A96" s="487"/>
      <c r="B96" s="505"/>
      <c r="C96" s="506"/>
      <c r="D96" s="506"/>
      <c r="E96" s="509"/>
      <c r="F96" s="509"/>
      <c r="G96" s="509"/>
      <c r="H96" s="509"/>
      <c r="I96" s="509"/>
      <c r="J96" s="447"/>
      <c r="K96" s="447"/>
    </row>
    <row r="97" spans="1:11" ht="12.75" customHeight="1">
      <c r="A97" s="1054" t="s">
        <v>305</v>
      </c>
      <c r="B97" s="1054"/>
      <c r="C97" s="1054"/>
      <c r="D97" s="1054"/>
      <c r="E97" s="1054"/>
      <c r="F97" s="1054"/>
      <c r="G97" s="1054"/>
      <c r="H97" s="1054"/>
      <c r="I97" s="1054"/>
      <c r="J97" s="1054"/>
      <c r="K97" s="1054"/>
    </row>
    <row r="98" spans="1:11">
      <c r="A98" s="514"/>
      <c r="B98" s="514"/>
      <c r="C98" s="515"/>
      <c r="D98" s="515"/>
      <c r="E98" s="515"/>
      <c r="F98" s="515"/>
      <c r="G98" s="515"/>
      <c r="H98" s="515"/>
      <c r="I98" s="515"/>
      <c r="J98" s="515"/>
      <c r="K98" s="515"/>
    </row>
    <row r="99" spans="1:11">
      <c r="A99" s="514"/>
      <c r="B99" s="514"/>
      <c r="C99" s="515"/>
      <c r="D99" s="515"/>
      <c r="E99" s="515"/>
      <c r="F99" s="515"/>
      <c r="G99" s="515"/>
      <c r="H99" s="515"/>
      <c r="I99" s="515"/>
      <c r="J99" s="515"/>
      <c r="K99" s="515"/>
    </row>
    <row r="100" spans="1:11">
      <c r="A100" s="514"/>
      <c r="B100" s="514"/>
      <c r="C100" s="515"/>
      <c r="D100" s="515"/>
      <c r="E100" s="515"/>
      <c r="F100" s="515"/>
      <c r="G100" s="515"/>
      <c r="H100" s="515"/>
      <c r="I100" s="515"/>
      <c r="J100" s="515"/>
      <c r="K100" s="515"/>
    </row>
    <row r="101" spans="1:11">
      <c r="A101" s="514"/>
      <c r="B101" s="514"/>
      <c r="C101" s="515"/>
      <c r="D101" s="515"/>
      <c r="E101" s="515"/>
      <c r="F101" s="515"/>
      <c r="G101" s="515"/>
      <c r="H101" s="515"/>
      <c r="I101" s="515"/>
      <c r="J101" s="515"/>
      <c r="K101" s="515"/>
    </row>
    <row r="102" spans="1:11">
      <c r="A102" s="514"/>
      <c r="B102" s="514"/>
      <c r="C102" s="515"/>
      <c r="D102" s="515"/>
      <c r="E102" s="515"/>
      <c r="F102" s="515"/>
      <c r="G102" s="515"/>
      <c r="H102" s="515"/>
      <c r="I102" s="515"/>
      <c r="J102" s="515"/>
      <c r="K102" s="515"/>
    </row>
    <row r="103" spans="1:11">
      <c r="A103" s="514"/>
      <c r="B103" s="514"/>
      <c r="C103" s="515"/>
      <c r="D103" s="515"/>
      <c r="E103" s="515"/>
      <c r="F103" s="515"/>
      <c r="G103" s="515"/>
      <c r="H103" s="515"/>
      <c r="I103" s="515"/>
      <c r="J103" s="515"/>
      <c r="K103" s="515"/>
    </row>
    <row r="104" spans="1:11">
      <c r="A104" s="487"/>
      <c r="B104" s="505"/>
      <c r="C104" s="506"/>
      <c r="D104" s="504"/>
      <c r="E104" s="504"/>
      <c r="F104" s="504"/>
      <c r="G104" s="504"/>
      <c r="H104" s="504"/>
      <c r="I104" s="504"/>
      <c r="J104" s="504"/>
      <c r="K104" s="504"/>
    </row>
    <row r="105" spans="1:11">
      <c r="A105" s="396" t="s">
        <v>306</v>
      </c>
      <c r="B105" s="397"/>
      <c r="C105" s="398"/>
      <c r="D105" s="398"/>
      <c r="E105" s="398"/>
      <c r="F105" s="398"/>
      <c r="G105" s="398"/>
      <c r="H105" s="398"/>
      <c r="I105" s="398"/>
      <c r="J105" s="398"/>
      <c r="K105" s="398"/>
    </row>
    <row r="106" spans="1:11">
      <c r="A106" s="516"/>
      <c r="B106" s="516"/>
      <c r="C106" s="517"/>
      <c r="D106" s="517"/>
      <c r="E106" s="517"/>
      <c r="F106" s="517"/>
      <c r="G106" s="517"/>
      <c r="H106" s="517"/>
      <c r="I106" s="517"/>
      <c r="J106" s="517"/>
      <c r="K106" s="517"/>
    </row>
    <row r="107" spans="1:11" ht="12.75" customHeight="1">
      <c r="A107" s="1054" t="s">
        <v>307</v>
      </c>
      <c r="B107" s="1054"/>
      <c r="C107" s="1054"/>
      <c r="D107" s="1054"/>
      <c r="E107" s="1054"/>
      <c r="F107" s="1054"/>
      <c r="G107" s="1054"/>
      <c r="H107" s="1054"/>
      <c r="I107" s="1054"/>
      <c r="J107" s="1054"/>
      <c r="K107" s="1054"/>
    </row>
    <row r="108" spans="1:11">
      <c r="A108" s="1054"/>
      <c r="B108" s="1054"/>
      <c r="C108" s="1054"/>
      <c r="D108" s="1054"/>
      <c r="E108" s="1054"/>
      <c r="F108" s="1054"/>
      <c r="G108" s="1054"/>
      <c r="H108" s="1054"/>
      <c r="I108" s="1054"/>
      <c r="J108" s="1054"/>
      <c r="K108" s="1054"/>
    </row>
    <row r="109" spans="1:11">
      <c r="A109" s="1054"/>
      <c r="B109" s="1054"/>
      <c r="C109" s="1054"/>
      <c r="D109" s="1054"/>
      <c r="E109" s="1054"/>
      <c r="F109" s="1054"/>
      <c r="G109" s="1054"/>
      <c r="H109" s="1054"/>
      <c r="I109" s="1054"/>
      <c r="J109" s="1054"/>
      <c r="K109" s="1054"/>
    </row>
    <row r="110" spans="1:11">
      <c r="A110" s="1054"/>
      <c r="B110" s="1054"/>
      <c r="C110" s="1054"/>
      <c r="D110" s="1054"/>
      <c r="E110" s="1054"/>
      <c r="F110" s="1054"/>
      <c r="G110" s="1054"/>
      <c r="H110" s="1054"/>
      <c r="I110" s="1054"/>
      <c r="J110" s="1054"/>
      <c r="K110" s="1054"/>
    </row>
    <row r="111" spans="1:11">
      <c r="A111" s="514"/>
      <c r="B111" s="514"/>
      <c r="C111" s="515"/>
      <c r="D111" s="515"/>
      <c r="E111" s="515"/>
      <c r="F111" s="515"/>
      <c r="G111" s="515"/>
      <c r="H111" s="515"/>
      <c r="I111" s="515"/>
      <c r="J111" s="515"/>
      <c r="K111" s="515"/>
    </row>
    <row r="112" spans="1:11">
      <c r="A112" s="514"/>
      <c r="B112" s="514"/>
      <c r="C112" s="515"/>
      <c r="D112" s="515"/>
      <c r="E112" s="515"/>
      <c r="F112" s="515"/>
      <c r="G112" s="515"/>
      <c r="H112" s="515"/>
      <c r="I112" s="515"/>
      <c r="J112" s="515"/>
      <c r="K112" s="515"/>
    </row>
    <row r="113" spans="1:11">
      <c r="A113" s="514"/>
      <c r="B113" s="514"/>
      <c r="C113" s="515"/>
      <c r="D113" s="515"/>
      <c r="E113" s="515"/>
      <c r="F113" s="515"/>
      <c r="G113" s="515"/>
      <c r="H113" s="515"/>
      <c r="I113" s="515"/>
      <c r="J113" s="515"/>
      <c r="K113" s="515"/>
    </row>
    <row r="114" spans="1:11">
      <c r="A114" s="487"/>
      <c r="B114" s="487"/>
      <c r="C114" s="504"/>
      <c r="D114" s="504"/>
      <c r="E114" s="504"/>
      <c r="F114" s="504"/>
      <c r="G114" s="504"/>
      <c r="H114" s="504"/>
      <c r="I114" s="504"/>
      <c r="J114" s="504"/>
      <c r="K114" s="504"/>
    </row>
    <row r="115" spans="1:11">
      <c r="A115" s="396" t="s">
        <v>308</v>
      </c>
      <c r="B115" s="397"/>
      <c r="C115" s="398"/>
      <c r="D115" s="398"/>
      <c r="E115" s="398"/>
      <c r="F115" s="398"/>
      <c r="G115" s="398"/>
      <c r="H115" s="398"/>
      <c r="I115" s="398"/>
      <c r="J115" s="398"/>
      <c r="K115" s="398"/>
    </row>
    <row r="116" spans="1:11">
      <c r="A116" s="516"/>
      <c r="B116" s="516"/>
      <c r="C116" s="517"/>
      <c r="D116" s="517"/>
      <c r="E116" s="517"/>
      <c r="F116" s="517"/>
      <c r="G116" s="517"/>
      <c r="H116" s="517"/>
      <c r="I116" s="517"/>
      <c r="J116" s="517"/>
      <c r="K116" s="517"/>
    </row>
    <row r="117" spans="1:11">
      <c r="A117" s="434" t="s">
        <v>192</v>
      </c>
      <c r="B117" s="1049" t="s">
        <v>193</v>
      </c>
      <c r="C117" s="1050"/>
      <c r="D117" s="1051"/>
      <c r="E117" s="1052" t="s">
        <v>194</v>
      </c>
      <c r="F117" s="1053"/>
      <c r="G117" s="1052" t="s">
        <v>195</v>
      </c>
      <c r="H117" s="1053"/>
      <c r="I117" s="507"/>
      <c r="J117" s="447"/>
      <c r="K117" s="447"/>
    </row>
    <row r="118" spans="1:11">
      <c r="A118" s="478">
        <v>1</v>
      </c>
      <c r="B118" s="518"/>
      <c r="C118" s="519"/>
      <c r="D118" s="520"/>
      <c r="E118" s="521"/>
      <c r="F118" s="522"/>
      <c r="G118" s="521"/>
      <c r="H118" s="522"/>
      <c r="I118" s="504"/>
      <c r="J118" s="447"/>
      <c r="K118" s="447"/>
    </row>
    <row r="119" spans="1:11">
      <c r="A119" s="478">
        <v>2</v>
      </c>
      <c r="B119" s="518"/>
      <c r="C119" s="519"/>
      <c r="D119" s="519"/>
      <c r="E119" s="521"/>
      <c r="F119" s="522"/>
      <c r="G119" s="521"/>
      <c r="H119" s="522"/>
      <c r="I119" s="504"/>
      <c r="J119" s="447"/>
      <c r="K119" s="447"/>
    </row>
    <row r="120" spans="1:11">
      <c r="A120" s="1045" t="s">
        <v>309</v>
      </c>
      <c r="B120" s="1046"/>
      <c r="C120" s="1046"/>
      <c r="D120" s="1047"/>
      <c r="E120" s="1038">
        <v>0</v>
      </c>
      <c r="F120" s="1039"/>
      <c r="G120" s="1038">
        <v>0</v>
      </c>
      <c r="H120" s="1039"/>
      <c r="I120" s="523"/>
      <c r="J120" s="447"/>
      <c r="K120" s="447"/>
    </row>
    <row r="121" spans="1:11">
      <c r="A121" s="487"/>
      <c r="B121" s="487"/>
      <c r="C121" s="504"/>
      <c r="D121" s="504"/>
      <c r="E121" s="504"/>
      <c r="F121" s="504"/>
      <c r="G121" s="504"/>
      <c r="H121" s="504"/>
      <c r="I121" s="504"/>
      <c r="J121" s="504"/>
      <c r="K121" s="504"/>
    </row>
  </sheetData>
  <mergeCells count="36">
    <mergeCell ref="J75:K75"/>
    <mergeCell ref="J76:K76"/>
    <mergeCell ref="J77:K77"/>
    <mergeCell ref="A86:K86"/>
    <mergeCell ref="A97:K97"/>
    <mergeCell ref="G75:H75"/>
    <mergeCell ref="G76:H76"/>
    <mergeCell ref="G81:H81"/>
    <mergeCell ref="G77:H77"/>
    <mergeCell ref="A6:A9"/>
    <mergeCell ref="B83:D83"/>
    <mergeCell ref="A84:D84"/>
    <mergeCell ref="A11:A13"/>
    <mergeCell ref="A20:A22"/>
    <mergeCell ref="A24:A27"/>
    <mergeCell ref="D75:E75"/>
    <mergeCell ref="B76:C76"/>
    <mergeCell ref="D76:E76"/>
    <mergeCell ref="A77:C77"/>
    <mergeCell ref="A81:A82"/>
    <mergeCell ref="B81:D82"/>
    <mergeCell ref="E81:F81"/>
    <mergeCell ref="D77:E77"/>
    <mergeCell ref="G120:H120"/>
    <mergeCell ref="B92:D93"/>
    <mergeCell ref="E92:F92"/>
    <mergeCell ref="G92:H92"/>
    <mergeCell ref="B94:D94"/>
    <mergeCell ref="A95:D95"/>
    <mergeCell ref="A92:A93"/>
    <mergeCell ref="B117:D117"/>
    <mergeCell ref="E117:F117"/>
    <mergeCell ref="G117:H117"/>
    <mergeCell ref="A120:D120"/>
    <mergeCell ref="E120:F120"/>
    <mergeCell ref="A107:K110"/>
  </mergeCells>
  <phoneticPr fontId="9" type="noConversion"/>
  <pageMargins left="0.19685039370078741" right="0.23622047244094491" top="0.31496062992125984" bottom="0.27559055118110237" header="0.19685039370078741" footer="0.19685039370078741"/>
  <pageSetup paperSize="9" scale="85"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A1:O163"/>
  <sheetViews>
    <sheetView topLeftCell="A4" workbookViewId="0">
      <pane xSplit="2" ySplit="4" topLeftCell="C35" activePane="bottomRight" state="frozen"/>
      <selection activeCell="B5" sqref="B5:C5"/>
      <selection pane="topRight" activeCell="B5" sqref="B5:C5"/>
      <selection pane="bottomLeft" activeCell="B5" sqref="B5:C5"/>
      <selection pane="bottomRight" activeCell="B5" sqref="B5:C5"/>
    </sheetView>
  </sheetViews>
  <sheetFormatPr defaultColWidth="9.109375" defaultRowHeight="13.2"/>
  <cols>
    <col min="1" max="1" width="5.5546875" style="247" customWidth="1"/>
    <col min="2" max="2" width="24.5546875" style="247" customWidth="1"/>
    <col min="3" max="3" width="14.109375" style="553" bestFit="1" customWidth="1"/>
    <col min="4" max="4" width="17" style="553" bestFit="1" customWidth="1"/>
    <col min="5" max="5" width="15.44140625" style="553" bestFit="1" customWidth="1"/>
    <col min="6" max="6" width="16.88671875" style="553" bestFit="1" customWidth="1"/>
    <col min="7" max="7" width="19.5546875" style="553" bestFit="1" customWidth="1"/>
    <col min="8" max="8" width="16.5546875" style="553" bestFit="1" customWidth="1"/>
    <col min="9" max="9" width="14.5546875" style="553" bestFit="1" customWidth="1"/>
    <col min="10" max="10" width="13.5546875" style="553" bestFit="1" customWidth="1"/>
    <col min="11" max="11" width="19.109375" style="537" customWidth="1"/>
    <col min="12" max="12" width="17.33203125" style="245" customWidth="1"/>
    <col min="13" max="13" width="11.109375" style="247" bestFit="1" customWidth="1"/>
    <col min="14" max="14" width="14.109375" style="326" bestFit="1" customWidth="1"/>
    <col min="15" max="15" width="12" style="247" bestFit="1" customWidth="1"/>
    <col min="16" max="16384" width="9.109375" style="247"/>
  </cols>
  <sheetData>
    <row r="1" spans="1:14">
      <c r="A1" s="20"/>
      <c r="B1" s="64"/>
      <c r="C1" s="536"/>
      <c r="D1" s="536"/>
      <c r="E1" s="536"/>
      <c r="F1" s="536"/>
      <c r="G1" s="536"/>
      <c r="H1" s="536"/>
      <c r="I1" s="536"/>
      <c r="J1" s="536"/>
    </row>
    <row r="2" spans="1:14">
      <c r="A2" s="20"/>
      <c r="B2" s="64"/>
      <c r="C2" s="536"/>
      <c r="D2" s="536"/>
      <c r="E2" s="536"/>
      <c r="F2" s="536"/>
      <c r="G2" s="536"/>
      <c r="H2" s="536"/>
      <c r="I2" s="536"/>
      <c r="J2" s="536"/>
    </row>
    <row r="3" spans="1:14">
      <c r="A3" s="221" t="s">
        <v>247</v>
      </c>
      <c r="B3" s="222"/>
      <c r="C3" s="538"/>
      <c r="D3" s="538"/>
      <c r="E3" s="538"/>
      <c r="F3" s="538"/>
      <c r="G3" s="538"/>
      <c r="H3" s="538"/>
      <c r="I3" s="538"/>
      <c r="J3" s="538"/>
    </row>
    <row r="4" spans="1:14" s="326" customFormat="1" ht="24.75" customHeight="1">
      <c r="A4" s="396" t="s">
        <v>247</v>
      </c>
      <c r="B4" s="397"/>
      <c r="C4" s="539"/>
      <c r="D4" s="539"/>
      <c r="E4" s="539"/>
      <c r="F4" s="539"/>
      <c r="G4" s="539"/>
      <c r="H4" s="539"/>
      <c r="I4" s="539"/>
      <c r="J4" s="539" t="s">
        <v>1042</v>
      </c>
      <c r="K4" s="537"/>
    </row>
    <row r="5" spans="1:14" ht="26.4">
      <c r="A5" s="27" t="s">
        <v>79</v>
      </c>
      <c r="B5" s="27" t="s">
        <v>5</v>
      </c>
      <c r="C5" s="435" t="s">
        <v>248</v>
      </c>
      <c r="D5" s="435" t="s">
        <v>249</v>
      </c>
      <c r="E5" s="435" t="s">
        <v>250</v>
      </c>
      <c r="F5" s="435" t="s">
        <v>251</v>
      </c>
      <c r="G5" s="435" t="s">
        <v>252</v>
      </c>
      <c r="H5" s="435" t="s">
        <v>253</v>
      </c>
      <c r="I5" s="435" t="s">
        <v>254</v>
      </c>
      <c r="J5" s="435" t="s">
        <v>82</v>
      </c>
    </row>
    <row r="6" spans="1:14" ht="38.25" customHeight="1">
      <c r="A6" s="35">
        <v>1</v>
      </c>
      <c r="B6" s="252" t="s">
        <v>255</v>
      </c>
      <c r="C6" s="351"/>
      <c r="D6" s="351"/>
      <c r="E6" s="351"/>
      <c r="F6" s="351"/>
      <c r="G6" s="351"/>
      <c r="H6" s="351"/>
      <c r="I6" s="351"/>
      <c r="J6" s="352"/>
    </row>
    <row r="7" spans="1:14">
      <c r="A7" s="29">
        <v>1.1000000000000001</v>
      </c>
      <c r="B7" s="58" t="s">
        <v>194</v>
      </c>
      <c r="C7" s="352">
        <f>+'todruulga-Undsen hurungu'!C4/1000</f>
        <v>2576719.2000000002</v>
      </c>
      <c r="D7" s="352">
        <f>+'todruulga-Undsen hurungu'!D4/1000</f>
        <v>21058094.156169999</v>
      </c>
      <c r="E7" s="352">
        <f>+'todruulga-Undsen hurungu'!E4/1000</f>
        <v>39997592.967289999</v>
      </c>
      <c r="F7" s="352">
        <f>+'todruulga-Undsen hurungu'!F4/1000</f>
        <v>1559437.96958</v>
      </c>
      <c r="G7" s="352">
        <f>+'todruulga-Undsen hurungu'!G4/1000+'todruulga-Undsen hurungu'!J4/1000</f>
        <v>2470752.0736399996</v>
      </c>
      <c r="H7" s="352">
        <f>+'todruulga-Undsen hurungu'!H4/1000</f>
        <v>1636887.5457200001</v>
      </c>
      <c r="I7" s="352">
        <f>+'todruulga-Undsen hurungu'!I4/1000</f>
        <v>0</v>
      </c>
      <c r="J7" s="352">
        <f>SUM(C7:I7)</f>
        <v>69299483.912399992</v>
      </c>
      <c r="K7" s="537">
        <f>+J7-C7</f>
        <v>66722764.712399989</v>
      </c>
      <c r="N7" s="327">
        <f>+E7+G7+H7+I7</f>
        <v>44105232.586649999</v>
      </c>
    </row>
    <row r="8" spans="1:14">
      <c r="A8" s="29">
        <v>1.2</v>
      </c>
      <c r="B8" s="253" t="s">
        <v>256</v>
      </c>
      <c r="C8" s="352">
        <f>+'todruulga-Undsen hurungu'!C5/1000</f>
        <v>0</v>
      </c>
      <c r="D8" s="352">
        <f>+'todruulga-Undsen hurungu'!D5/1000</f>
        <v>2332500.1437999997</v>
      </c>
      <c r="E8" s="352">
        <f>+'todruulga-Undsen hurungu'!E5/1000</f>
        <v>8041411.1599300001</v>
      </c>
      <c r="F8" s="352">
        <f>+'todruulga-Undsen hurungu'!F5/1000</f>
        <v>400148.12548000005</v>
      </c>
      <c r="G8" s="352">
        <f>+'todruulga-Undsen hurungu'!G5/1000</f>
        <v>626686.72376999992</v>
      </c>
      <c r="H8" s="352">
        <f>+'todruulga-Undsen hurungu'!H5/1000</f>
        <v>290543.72093999997</v>
      </c>
      <c r="I8" s="352">
        <f>+'todruulga-Undsen hurungu'!I5/1000</f>
        <v>0</v>
      </c>
      <c r="J8" s="352">
        <f>SUM(C8:I8)</f>
        <v>11691289.873919999</v>
      </c>
      <c r="K8" s="537">
        <f t="shared" ref="K8:K34" si="0">+J8-C8</f>
        <v>11691289.873919999</v>
      </c>
      <c r="N8" s="327">
        <f t="shared" ref="N8:N34" si="1">+E8+G8+H8+I8</f>
        <v>8958641.6046399996</v>
      </c>
    </row>
    <row r="9" spans="1:14">
      <c r="A9" s="1072"/>
      <c r="B9" s="58" t="s">
        <v>257</v>
      </c>
      <c r="C9" s="352">
        <f>+'todruulga-Undsen hurungu'!C6/1000</f>
        <v>0</v>
      </c>
      <c r="D9" s="352">
        <f>+'todruulga-Undsen hurungu'!D6/1000</f>
        <v>0</v>
      </c>
      <c r="E9" s="352">
        <f>+'todruulga-Undsen hurungu'!E6/1000</f>
        <v>0</v>
      </c>
      <c r="F9" s="352">
        <f>+'todruulga-Undsen hurungu'!F6/1000</f>
        <v>0</v>
      </c>
      <c r="G9" s="352">
        <f>+'todruulga-Undsen hurungu'!G6/1000</f>
        <v>0</v>
      </c>
      <c r="H9" s="352">
        <f>+'todruulga-Undsen hurungu'!H6/1000</f>
        <v>0</v>
      </c>
      <c r="I9" s="352">
        <f>+'todruulga-Undsen hurungu'!I6/1000</f>
        <v>0</v>
      </c>
      <c r="J9" s="352">
        <f>SUM(C9:I9)</f>
        <v>0</v>
      </c>
      <c r="K9" s="537">
        <f t="shared" si="0"/>
        <v>0</v>
      </c>
      <c r="N9" s="327">
        <f t="shared" si="1"/>
        <v>0</v>
      </c>
    </row>
    <row r="10" spans="1:14">
      <c r="A10" s="1073"/>
      <c r="B10" s="58" t="s">
        <v>258</v>
      </c>
      <c r="C10" s="352">
        <f>+'todruulga-Undsen hurungu'!C7/1000</f>
        <v>0</v>
      </c>
      <c r="D10" s="352">
        <f>+'todruulga-Undsen hurungu'!D7/1000</f>
        <v>1973734.4373499998</v>
      </c>
      <c r="E10" s="352">
        <f>+'todruulga-Undsen hurungu'!E7/1000</f>
        <v>7382137.6936300006</v>
      </c>
      <c r="F10" s="352">
        <f>+'todruulga-Undsen hurungu'!F7/1000</f>
        <v>385701.82748000004</v>
      </c>
      <c r="G10" s="352">
        <f>+'todruulga-Undsen hurungu'!G7/1000</f>
        <v>626306.72376999992</v>
      </c>
      <c r="H10" s="352">
        <f>+'todruulga-Undsen hurungu'!H7/1000</f>
        <v>284380.72093999997</v>
      </c>
      <c r="I10" s="352">
        <f>+'todruulga-Undsen hurungu'!I7/1000</f>
        <v>0</v>
      </c>
      <c r="J10" s="352">
        <f>SUM(C10:I10)</f>
        <v>10652261.403169999</v>
      </c>
      <c r="K10" s="537">
        <f t="shared" si="0"/>
        <v>10652261.403169999</v>
      </c>
      <c r="N10" s="327">
        <f t="shared" si="1"/>
        <v>8292825.138340001</v>
      </c>
    </row>
    <row r="11" spans="1:14">
      <c r="A11" s="1073"/>
      <c r="B11" s="58" t="s">
        <v>1043</v>
      </c>
      <c r="C11" s="352">
        <f>+'todruulga-Undsen hurungu'!C8/1000</f>
        <v>0</v>
      </c>
      <c r="D11" s="352">
        <f>+'todruulga-Undsen hurungu'!D8/1000</f>
        <v>358765.70645</v>
      </c>
      <c r="E11" s="352">
        <f>+'todruulga-Undsen hurungu'!E8/1000</f>
        <v>659273.46629999997</v>
      </c>
      <c r="F11" s="352">
        <f>+'todruulga-Undsen hurungu'!F8/1000</f>
        <v>14446.298000000001</v>
      </c>
      <c r="G11" s="352">
        <f>+'todruulga-Undsen hurungu'!G8/1000</f>
        <v>380</v>
      </c>
      <c r="H11" s="352">
        <f>+'todruulga-Undsen hurungu'!H8/1000</f>
        <v>6163</v>
      </c>
      <c r="I11" s="352">
        <f>+'todruulga-Undsen hurungu'!I8/1000</f>
        <v>0</v>
      </c>
      <c r="J11" s="352">
        <f t="shared" ref="J11:J18" si="2">SUM(C11:I11)</f>
        <v>1039028.4707499999</v>
      </c>
      <c r="K11" s="537">
        <f t="shared" si="0"/>
        <v>1039028.4707499999</v>
      </c>
      <c r="L11" s="245" t="s">
        <v>594</v>
      </c>
      <c r="N11" s="327">
        <f t="shared" si="1"/>
        <v>665816.46629999997</v>
      </c>
    </row>
    <row r="12" spans="1:14">
      <c r="A12" s="1074"/>
      <c r="B12" s="241" t="s">
        <v>260</v>
      </c>
      <c r="C12" s="352">
        <f>+'todruulga-Undsen hurungu'!C9/1000</f>
        <v>0</v>
      </c>
      <c r="D12" s="352">
        <f>+'todruulga-Undsen hurungu'!D9/1000</f>
        <v>0</v>
      </c>
      <c r="E12" s="352">
        <f>+'todruulga-Undsen hurungu'!E9/1000</f>
        <v>0</v>
      </c>
      <c r="F12" s="352">
        <f>+'todruulga-Undsen hurungu'!F9/1000</f>
        <v>0</v>
      </c>
      <c r="G12" s="352">
        <f>+'todruulga-Undsen hurungu'!G9/1000</f>
        <v>0</v>
      </c>
      <c r="H12" s="352">
        <f>+'todruulga-Undsen hurungu'!H9/1000</f>
        <v>0</v>
      </c>
      <c r="I12" s="352">
        <f>+'todruulga-Undsen hurungu'!I9/1000</f>
        <v>0</v>
      </c>
      <c r="J12" s="540">
        <f t="shared" si="2"/>
        <v>0</v>
      </c>
      <c r="K12" s="537">
        <f t="shared" si="0"/>
        <v>0</v>
      </c>
      <c r="L12" s="245">
        <f>+K12-J12</f>
        <v>0</v>
      </c>
      <c r="N12" s="327">
        <f t="shared" si="1"/>
        <v>0</v>
      </c>
    </row>
    <row r="13" spans="1:14" s="400" customFormat="1">
      <c r="A13" s="29">
        <v>1.3</v>
      </c>
      <c r="B13" s="253" t="s">
        <v>234</v>
      </c>
      <c r="C13" s="352">
        <f>+'todruulga-Undsen hurungu'!C10/1000</f>
        <v>0</v>
      </c>
      <c r="D13" s="352">
        <f>+'todruulga-Undsen hurungu'!D10/1000</f>
        <v>63945.727630000001</v>
      </c>
      <c r="E13" s="352">
        <f>+'todruulga-Undsen hurungu'!E10/1000</f>
        <v>898927.84256000002</v>
      </c>
      <c r="F13" s="352">
        <f>+'todruulga-Undsen hurungu'!F10/1000</f>
        <v>213964.95322</v>
      </c>
      <c r="G13" s="352">
        <f>+'todruulga-Undsen hurungu'!G10/1000</f>
        <v>167846.4559</v>
      </c>
      <c r="H13" s="352">
        <f>+'todruulga-Undsen hurungu'!H10/1000</f>
        <v>42340.83425</v>
      </c>
      <c r="I13" s="352">
        <f>+'todruulga-Undsen hurungu'!I10/1000</f>
        <v>0</v>
      </c>
      <c r="J13" s="540">
        <f t="shared" si="2"/>
        <v>1387025.8135599999</v>
      </c>
      <c r="K13" s="537">
        <f t="shared" si="0"/>
        <v>1387025.8135599999</v>
      </c>
      <c r="L13" s="399"/>
      <c r="N13" s="401">
        <f t="shared" si="1"/>
        <v>1109115.13271</v>
      </c>
    </row>
    <row r="14" spans="1:14">
      <c r="A14" s="1072"/>
      <c r="B14" s="58" t="s">
        <v>261</v>
      </c>
      <c r="C14" s="352">
        <f>+'todruulga-Undsen hurungu'!C11/1000</f>
        <v>0</v>
      </c>
      <c r="D14" s="352">
        <f>+'todruulga-Undsen hurungu'!D11/1000</f>
        <v>0</v>
      </c>
      <c r="E14" s="352">
        <f>+'todruulga-Undsen hurungu'!E11/1000</f>
        <v>726679.62624000001</v>
      </c>
      <c r="F14" s="352">
        <f>+'todruulga-Undsen hurungu'!F11/1000</f>
        <v>213964.95322</v>
      </c>
      <c r="G14" s="352">
        <f>+'todruulga-Undsen hurungu'!G11/1000</f>
        <v>22026.207030000001</v>
      </c>
      <c r="H14" s="352">
        <f>+'todruulga-Undsen hurungu'!H11/1000</f>
        <v>0</v>
      </c>
      <c r="I14" s="352">
        <f>+'todruulga-Undsen hurungu'!I11/1000</f>
        <v>0</v>
      </c>
      <c r="J14" s="540">
        <f t="shared" si="2"/>
        <v>962670.78649000009</v>
      </c>
      <c r="K14" s="537">
        <f t="shared" si="0"/>
        <v>962670.78649000009</v>
      </c>
      <c r="N14" s="327">
        <f t="shared" si="1"/>
        <v>748705.83327000006</v>
      </c>
    </row>
    <row r="15" spans="1:14">
      <c r="A15" s="1073"/>
      <c r="B15" s="58" t="s">
        <v>262</v>
      </c>
      <c r="C15" s="352">
        <f>+'todruulga-Undsen hurungu'!C12/1000</f>
        <v>0</v>
      </c>
      <c r="D15" s="352">
        <f>+'todruulga-Undsen hurungu'!D12/1000</f>
        <v>0</v>
      </c>
      <c r="E15" s="352">
        <f>+'todruulga-Undsen hurungu'!E12/1000</f>
        <v>0</v>
      </c>
      <c r="F15" s="352">
        <f>+'todruulga-Undsen hurungu'!F12/1000</f>
        <v>0</v>
      </c>
      <c r="G15" s="352">
        <f>+'todruulga-Undsen hurungu'!G12/1000</f>
        <v>0</v>
      </c>
      <c r="H15" s="352">
        <f>+'todruulga-Undsen hurungu'!H12/1000</f>
        <v>0</v>
      </c>
      <c r="I15" s="352">
        <f>+'todruulga-Undsen hurungu'!I12/1000</f>
        <v>0</v>
      </c>
      <c r="J15" s="540">
        <f t="shared" si="2"/>
        <v>0</v>
      </c>
      <c r="K15" s="537">
        <f t="shared" si="0"/>
        <v>0</v>
      </c>
      <c r="N15" s="327">
        <f t="shared" si="1"/>
        <v>0</v>
      </c>
    </row>
    <row r="16" spans="1:14">
      <c r="A16" s="1074"/>
      <c r="B16" s="58" t="s">
        <v>263</v>
      </c>
      <c r="C16" s="352">
        <f>+'todruulga-Undsen hurungu'!C13/1000</f>
        <v>0</v>
      </c>
      <c r="D16" s="352">
        <f>+'todruulga-Undsen hurungu'!D13/1000</f>
        <v>63945.727630000001</v>
      </c>
      <c r="E16" s="352">
        <f>+'todruulga-Undsen hurungu'!E13/1000</f>
        <v>161068.43762000001</v>
      </c>
      <c r="F16" s="352">
        <f>+'todruulga-Undsen hurungu'!F13/1000</f>
        <v>0</v>
      </c>
      <c r="G16" s="352">
        <f>+'todruulga-Undsen hurungu'!G13/1000</f>
        <v>153560.23237000001</v>
      </c>
      <c r="H16" s="352">
        <f>+'todruulga-Undsen hurungu'!H13/1000</f>
        <v>43055.68275</v>
      </c>
      <c r="I16" s="352">
        <f>+'todruulga-Undsen hurungu'!I13/1000</f>
        <v>0</v>
      </c>
      <c r="J16" s="540">
        <f t="shared" si="2"/>
        <v>421630.08037000004</v>
      </c>
      <c r="K16" s="537">
        <f t="shared" si="0"/>
        <v>421630.08037000004</v>
      </c>
      <c r="N16" s="327">
        <f t="shared" si="1"/>
        <v>357684.35274</v>
      </c>
    </row>
    <row r="17" spans="1:14" ht="26.4">
      <c r="A17" s="29">
        <v>1.4</v>
      </c>
      <c r="B17" s="241" t="s">
        <v>264</v>
      </c>
      <c r="C17" s="352">
        <f>+'todruulga-Undsen hurungu'!C14/1000</f>
        <v>0</v>
      </c>
      <c r="D17" s="352">
        <f>+'todruulga-Undsen hurungu'!D14/1000</f>
        <v>0</v>
      </c>
      <c r="E17" s="352">
        <f>+'todruulga-Undsen hurungu'!E14/1000</f>
        <v>0</v>
      </c>
      <c r="F17" s="352">
        <f>+'todruulga-Undsen hurungu'!F14/1000</f>
        <v>0</v>
      </c>
      <c r="G17" s="352">
        <f>+'todruulga-Undsen hurungu'!G14/1000</f>
        <v>0</v>
      </c>
      <c r="H17" s="352">
        <f>+'todruulga-Undsen hurungu'!H14/1000</f>
        <v>0</v>
      </c>
      <c r="I17" s="352">
        <f>+'todruulga-Undsen hurungu'!I14/1000</f>
        <v>0</v>
      </c>
      <c r="J17" s="540">
        <f t="shared" si="2"/>
        <v>0</v>
      </c>
      <c r="K17" s="537">
        <f t="shared" si="0"/>
        <v>0</v>
      </c>
      <c r="N17" s="327">
        <f t="shared" si="1"/>
        <v>0</v>
      </c>
    </row>
    <row r="18" spans="1:14" ht="26.4">
      <c r="A18" s="29">
        <v>1.5</v>
      </c>
      <c r="B18" s="241" t="s">
        <v>265</v>
      </c>
      <c r="C18" s="352">
        <f>+'todruulga-Undsen hurungu'!C15/1000</f>
        <v>0</v>
      </c>
      <c r="D18" s="352">
        <f>+'todruulga-Undsen hurungu'!D15/1000</f>
        <v>0</v>
      </c>
      <c r="E18" s="352">
        <f>+'todruulga-Undsen hurungu'!E15/1000</f>
        <v>11179.778699999999</v>
      </c>
      <c r="F18" s="352">
        <f>+'todruulga-Undsen hurungu'!F15/1000</f>
        <v>0</v>
      </c>
      <c r="G18" s="352">
        <f>+'todruulga-Undsen hurungu'!G15/1000</f>
        <v>-7739.9835000000003</v>
      </c>
      <c r="H18" s="352">
        <f>+'todruulga-Undsen hurungu'!H15/1000</f>
        <v>-714.84849999999994</v>
      </c>
      <c r="I18" s="352">
        <f>+'todruulga-Undsen hurungu'!I15/1000</f>
        <v>0</v>
      </c>
      <c r="J18" s="540">
        <f t="shared" si="2"/>
        <v>2724.9466999999986</v>
      </c>
      <c r="K18" s="537">
        <f t="shared" si="0"/>
        <v>2724.9466999999986</v>
      </c>
      <c r="N18" s="327">
        <f t="shared" si="1"/>
        <v>2724.9466999999986</v>
      </c>
    </row>
    <row r="19" spans="1:14" s="400" customFormat="1">
      <c r="A19" s="29">
        <v>1.6</v>
      </c>
      <c r="B19" s="241" t="s">
        <v>195</v>
      </c>
      <c r="C19" s="352">
        <f>+C7+C8-C13</f>
        <v>2576719.2000000002</v>
      </c>
      <c r="D19" s="352">
        <f t="shared" ref="D19:I19" si="3">+D7+D8-D13</f>
        <v>23326648.57234</v>
      </c>
      <c r="E19" s="352">
        <f t="shared" si="3"/>
        <v>47140076.284659997</v>
      </c>
      <c r="F19" s="352">
        <f t="shared" si="3"/>
        <v>1745621.1418400002</v>
      </c>
      <c r="G19" s="352">
        <f t="shared" si="3"/>
        <v>2929592.3415099997</v>
      </c>
      <c r="H19" s="352">
        <f t="shared" si="3"/>
        <v>1885090.4324099999</v>
      </c>
      <c r="I19" s="352">
        <f t="shared" si="3"/>
        <v>0</v>
      </c>
      <c r="J19" s="352">
        <f t="shared" ref="J19" si="4">+J7+J8-J13</f>
        <v>79603747.972759992</v>
      </c>
      <c r="K19" s="537">
        <f t="shared" si="0"/>
        <v>77027028.772759989</v>
      </c>
      <c r="L19" s="399">
        <f>+K19-J19</f>
        <v>-2576719.200000003</v>
      </c>
      <c r="N19" s="401">
        <f t="shared" si="1"/>
        <v>51954759.058579996</v>
      </c>
    </row>
    <row r="20" spans="1:14">
      <c r="A20" s="35">
        <v>2</v>
      </c>
      <c r="B20" s="254" t="s">
        <v>266</v>
      </c>
      <c r="C20" s="351"/>
      <c r="D20" s="351"/>
      <c r="E20" s="351"/>
      <c r="F20" s="351"/>
      <c r="G20" s="351"/>
      <c r="H20" s="351"/>
      <c r="I20" s="351"/>
      <c r="J20" s="352"/>
      <c r="K20" s="537">
        <f t="shared" si="0"/>
        <v>0</v>
      </c>
      <c r="N20" s="327">
        <f t="shared" si="1"/>
        <v>0</v>
      </c>
    </row>
    <row r="21" spans="1:14">
      <c r="A21" s="29">
        <v>2.1</v>
      </c>
      <c r="B21" s="254" t="s">
        <v>194</v>
      </c>
      <c r="C21" s="352">
        <f>+'todruulga-Undsen hurungu'!C18/1000</f>
        <v>0</v>
      </c>
      <c r="D21" s="352">
        <f>+'todruulga-Undsen hurungu'!D18/1000</f>
        <v>1139541.61699</v>
      </c>
      <c r="E21" s="352">
        <f>+'todruulga-Undsen hurungu'!E18/1000</f>
        <v>23104803.507540002</v>
      </c>
      <c r="F21" s="352">
        <f>+'todruulga-Undsen hurungu'!F18/1000</f>
        <v>522225.07232000004</v>
      </c>
      <c r="G21" s="352">
        <f>+'todruulga-Undsen hurungu'!G18/1000+'todruulga-Undsen hurungu'!J18/1000</f>
        <v>922332.08277999982</v>
      </c>
      <c r="H21" s="352">
        <f>+'todruulga-Undsen hurungu'!H18/1000</f>
        <v>1341105.9956100001</v>
      </c>
      <c r="I21" s="352">
        <f>+'todruulga-Undsen hurungu'!I18/1000</f>
        <v>0</v>
      </c>
      <c r="J21" s="352">
        <f>SUM(D21:I21)</f>
        <v>27030008.27524</v>
      </c>
      <c r="K21" s="537">
        <f t="shared" si="0"/>
        <v>27030008.27524</v>
      </c>
      <c r="N21" s="327">
        <f t="shared" si="1"/>
        <v>25368241.585930001</v>
      </c>
    </row>
    <row r="22" spans="1:14" s="400" customFormat="1">
      <c r="A22" s="29">
        <v>2.2000000000000002</v>
      </c>
      <c r="B22" s="58" t="s">
        <v>233</v>
      </c>
      <c r="C22" s="352">
        <f>SUM(C23:C25)</f>
        <v>0</v>
      </c>
      <c r="D22" s="352">
        <f t="shared" ref="D22:I22" si="5">SUM(D23:D25)</f>
        <v>909558.62578</v>
      </c>
      <c r="E22" s="352">
        <f t="shared" si="5"/>
        <v>3909897.0514400001</v>
      </c>
      <c r="F22" s="352">
        <f t="shared" si="5"/>
        <v>177992.18102999998</v>
      </c>
      <c r="G22" s="352">
        <f>+'todruulga-Undsen hurungu'!G19/1000+'todruulga-Undsen hurungu'!J19/1000</f>
        <v>272764.78870999999</v>
      </c>
      <c r="H22" s="352">
        <f t="shared" si="5"/>
        <v>157339.40471</v>
      </c>
      <c r="I22" s="352">
        <f t="shared" si="5"/>
        <v>0</v>
      </c>
      <c r="J22" s="352">
        <f t="shared" ref="J22:J30" si="6">SUM(D22:I22)</f>
        <v>5427552.05167</v>
      </c>
      <c r="K22" s="537">
        <f t="shared" si="0"/>
        <v>5427552.05167</v>
      </c>
      <c r="L22" s="399"/>
      <c r="N22" s="401">
        <f t="shared" si="1"/>
        <v>4340001.24486</v>
      </c>
    </row>
    <row r="23" spans="1:14">
      <c r="A23" s="1072"/>
      <c r="B23" s="58" t="s">
        <v>267</v>
      </c>
      <c r="C23" s="351">
        <f>+'todruulga-Undsen hurungu'!C20/1000</f>
        <v>0</v>
      </c>
      <c r="D23" s="351">
        <f>+'todruulga-Undsen hurungu'!D20/1000</f>
        <v>904837.82798000006</v>
      </c>
      <c r="E23" s="351">
        <f>+'todruulga-Undsen hurungu'!E20/1000</f>
        <v>3806578.1695400001</v>
      </c>
      <c r="F23" s="351">
        <f>+'todruulga-Undsen hurungu'!F20/1000</f>
        <v>171433.31182999999</v>
      </c>
      <c r="G23" s="351">
        <f>+'todruulga-Undsen hurungu'!G20/1000+'todruulga-Undsen hurungu'!J20/1000</f>
        <v>264244.13271000003</v>
      </c>
      <c r="H23" s="351">
        <f>+'todruulga-Undsen hurungu'!H20/1000</f>
        <v>153241.30950999999</v>
      </c>
      <c r="I23" s="351">
        <f>+'todruulga-Undsen hurungu'!I20/1000</f>
        <v>0</v>
      </c>
      <c r="J23" s="352">
        <f t="shared" si="6"/>
        <v>5300334.7515699994</v>
      </c>
      <c r="K23" s="537">
        <f t="shared" si="0"/>
        <v>5300334.7515699994</v>
      </c>
      <c r="N23" s="327">
        <f t="shared" si="1"/>
        <v>4224063.6117599998</v>
      </c>
    </row>
    <row r="24" spans="1:14">
      <c r="A24" s="1073"/>
      <c r="B24" s="241" t="s">
        <v>1044</v>
      </c>
      <c r="C24" s="351">
        <f>+'todruulga-Undsen hurungu'!C21/1000</f>
        <v>0</v>
      </c>
      <c r="D24" s="351">
        <f>+'todruulga-Undsen hurungu'!D21/1000</f>
        <v>4720.7977999999994</v>
      </c>
      <c r="E24" s="351">
        <f>+'todruulga-Undsen hurungu'!E21/1000</f>
        <v>103318.88190000001</v>
      </c>
      <c r="F24" s="351">
        <f>+'todruulga-Undsen hurungu'!F21/1000</f>
        <v>6558.8692000000001</v>
      </c>
      <c r="G24" s="351">
        <f>+'todruulga-Undsen hurungu'!G21/1000+'todruulga-Undsen hurungu'!J21/1000</f>
        <v>8520.6560000000009</v>
      </c>
      <c r="H24" s="351">
        <f>+'todruulga-Undsen hurungu'!H21/1000</f>
        <v>4098.0951999999997</v>
      </c>
      <c r="I24" s="351">
        <f>+'todruulga-Undsen hurungu'!I21/1000</f>
        <v>0</v>
      </c>
      <c r="J24" s="352">
        <f t="shared" si="6"/>
        <v>127217.30010000001</v>
      </c>
      <c r="K24" s="537">
        <f t="shared" si="0"/>
        <v>127217.30010000001</v>
      </c>
      <c r="N24" s="327">
        <f t="shared" si="1"/>
        <v>115937.63310000001</v>
      </c>
    </row>
    <row r="25" spans="1:14" ht="26.4">
      <c r="A25" s="1074"/>
      <c r="B25" s="241" t="s">
        <v>268</v>
      </c>
      <c r="C25" s="351">
        <f>+'todruulga-Undsen hurungu'!C22/1000</f>
        <v>0</v>
      </c>
      <c r="D25" s="351">
        <f>+'todruulga-Undsen hurungu'!D22/1000</f>
        <v>0</v>
      </c>
      <c r="E25" s="351">
        <f>+'todruulga-Undsen hurungu'!E22/1000</f>
        <v>0</v>
      </c>
      <c r="F25" s="351">
        <f>+'todruulga-Undsen hurungu'!F22/1000</f>
        <v>0</v>
      </c>
      <c r="G25" s="351">
        <f>+'todruulga-Undsen hurungu'!G22/1000+'todruulga-Undsen hurungu'!J22/1000</f>
        <v>0</v>
      </c>
      <c r="H25" s="351">
        <f>+'todruulga-Undsen hurungu'!H22/1000</f>
        <v>0</v>
      </c>
      <c r="I25" s="351">
        <f>+'todruulga-Undsen hurungu'!I22/1000</f>
        <v>0</v>
      </c>
      <c r="J25" s="352">
        <f t="shared" si="6"/>
        <v>0</v>
      </c>
      <c r="K25" s="537">
        <f t="shared" si="0"/>
        <v>0</v>
      </c>
      <c r="N25" s="327">
        <f t="shared" si="1"/>
        <v>0</v>
      </c>
    </row>
    <row r="26" spans="1:14" s="400" customFormat="1">
      <c r="A26" s="29">
        <v>2.2000000000000002</v>
      </c>
      <c r="B26" s="58" t="s">
        <v>269</v>
      </c>
      <c r="C26" s="351">
        <f>SUM(C27:C30)</f>
        <v>0</v>
      </c>
      <c r="D26" s="351">
        <f t="shared" ref="D26:I26" si="7">SUM(D27:D30)</f>
        <v>5279.33</v>
      </c>
      <c r="E26" s="351">
        <f t="shared" si="7"/>
        <v>661668.95815000008</v>
      </c>
      <c r="F26" s="351">
        <f t="shared" si="7"/>
        <v>147712.22450000001</v>
      </c>
      <c r="G26" s="351">
        <f>+'todruulga-Undsen hurungu'!G23/1000+'todruulga-Undsen hurungu'!J23/1000</f>
        <v>110554.34294</v>
      </c>
      <c r="H26" s="351">
        <f t="shared" si="7"/>
        <v>34209.643280000004</v>
      </c>
      <c r="I26" s="351">
        <f t="shared" si="7"/>
        <v>0</v>
      </c>
      <c r="J26" s="352">
        <f t="shared" ref="J26" si="8">SUM(J27:J30)</f>
        <v>959424.49887000001</v>
      </c>
      <c r="K26" s="537">
        <f t="shared" si="0"/>
        <v>959424.49887000001</v>
      </c>
      <c r="L26" s="399"/>
      <c r="N26" s="401">
        <f t="shared" si="1"/>
        <v>806432.94437000004</v>
      </c>
    </row>
    <row r="27" spans="1:14">
      <c r="A27" s="1072"/>
      <c r="B27" s="58" t="s">
        <v>263</v>
      </c>
      <c r="C27" s="351">
        <f>+'todruulga-Undsen hurungu'!C24/1000</f>
        <v>0</v>
      </c>
      <c r="D27" s="351">
        <f>+'todruulga-Undsen hurungu'!D24/1000</f>
        <v>5279.33</v>
      </c>
      <c r="E27" s="351">
        <f>+'todruulga-Undsen hurungu'!E24/1000</f>
        <v>115726.17940000001</v>
      </c>
      <c r="F27" s="351">
        <f>+'todruulga-Undsen hurungu'!F24/1000</f>
        <v>0</v>
      </c>
      <c r="G27" s="351">
        <f>+'todruulga-Undsen hurungu'!G24/1000+'todruulga-Undsen hurungu'!J24/1000</f>
        <v>105000.31393999999</v>
      </c>
      <c r="H27" s="351">
        <f>+'todruulga-Undsen hurungu'!H24/1000</f>
        <v>34209.643280000004</v>
      </c>
      <c r="I27" s="351">
        <f>+'todruulga-Undsen hurungu'!I24/1000</f>
        <v>0</v>
      </c>
      <c r="J27" s="540">
        <f>SUM(D27:I27)</f>
        <v>260215.46662000002</v>
      </c>
      <c r="K27" s="537">
        <f t="shared" si="0"/>
        <v>260215.46662000002</v>
      </c>
      <c r="L27" s="245">
        <f>3541422884.33/1000</f>
        <v>3541422.8843299998</v>
      </c>
      <c r="N27" s="327">
        <f t="shared" si="1"/>
        <v>254936.13662</v>
      </c>
    </row>
    <row r="28" spans="1:14">
      <c r="A28" s="1073"/>
      <c r="B28" s="58" t="s">
        <v>261</v>
      </c>
      <c r="C28" s="351">
        <f>+'todruulga-Undsen hurungu'!C25/1000</f>
        <v>0</v>
      </c>
      <c r="D28" s="351">
        <f>+'todruulga-Undsen hurungu'!D25/1000</f>
        <v>0</v>
      </c>
      <c r="E28" s="351">
        <f>+'todruulga-Undsen hurungu'!E25/1000</f>
        <v>545942.77875000006</v>
      </c>
      <c r="F28" s="351">
        <f>+'todruulga-Undsen hurungu'!F25/1000</f>
        <v>147712.22450000001</v>
      </c>
      <c r="G28" s="351">
        <f>+'todruulga-Undsen hurungu'!G25/1000+'todruulga-Undsen hurungu'!J25/1000</f>
        <v>5554.0290000000005</v>
      </c>
      <c r="H28" s="351">
        <f>+'todruulga-Undsen hurungu'!H25/1000</f>
        <v>0</v>
      </c>
      <c r="I28" s="351">
        <f>+'todruulga-Undsen hurungu'!I25/1000</f>
        <v>0</v>
      </c>
      <c r="J28" s="352">
        <f t="shared" si="6"/>
        <v>699209.03225000005</v>
      </c>
      <c r="K28" s="537">
        <f t="shared" si="0"/>
        <v>699209.03225000005</v>
      </c>
      <c r="L28" s="245">
        <f>+L27-K27</f>
        <v>3281207.4177099997</v>
      </c>
      <c r="N28" s="327">
        <f t="shared" si="1"/>
        <v>551496.80775000004</v>
      </c>
    </row>
    <row r="29" spans="1:14">
      <c r="A29" s="1073"/>
      <c r="B29" s="58" t="s">
        <v>1045</v>
      </c>
      <c r="C29" s="351">
        <f>+'todruulga-Undsen hurungu'!C26/1000</f>
        <v>0</v>
      </c>
      <c r="D29" s="351">
        <f>+'todruulga-Undsen hurungu'!D26/1000</f>
        <v>0</v>
      </c>
      <c r="E29" s="351">
        <f>+'todruulga-Undsen hurungu'!E26/1000</f>
        <v>0</v>
      </c>
      <c r="F29" s="351">
        <f>+'todruulga-Undsen hurungu'!F26/1000</f>
        <v>0</v>
      </c>
      <c r="G29" s="351">
        <f>+'todruulga-Undsen hurungu'!G26/1000+'todruulga-Undsen hurungu'!J26/1000</f>
        <v>0</v>
      </c>
      <c r="H29" s="351">
        <f>+'todruulga-Undsen hurungu'!H26/1000</f>
        <v>0</v>
      </c>
      <c r="I29" s="351">
        <f>+'todruulga-Undsen hurungu'!I26/1000</f>
        <v>0</v>
      </c>
      <c r="J29" s="352">
        <f t="shared" si="6"/>
        <v>0</v>
      </c>
      <c r="K29" s="537">
        <f t="shared" si="0"/>
        <v>0</v>
      </c>
      <c r="N29" s="327">
        <f t="shared" si="1"/>
        <v>0</v>
      </c>
    </row>
    <row r="30" spans="1:14" s="400" customFormat="1">
      <c r="A30" s="1074"/>
      <c r="B30" s="58" t="s">
        <v>1046</v>
      </c>
      <c r="C30" s="351">
        <f>+'todruulga-Undsen hurungu'!C27/1000</f>
        <v>0</v>
      </c>
      <c r="D30" s="351">
        <f>+'todruulga-Undsen hurungu'!D27/1000</f>
        <v>0</v>
      </c>
      <c r="E30" s="351">
        <f>+'todruulga-Undsen hurungu'!E27/1000</f>
        <v>0</v>
      </c>
      <c r="F30" s="351">
        <f>+'todruulga-Undsen hurungu'!F27/1000</f>
        <v>0</v>
      </c>
      <c r="G30" s="351">
        <f>+'todruulga-Undsen hurungu'!G27/1000+'todruulga-Undsen hurungu'!J27/1000</f>
        <v>0</v>
      </c>
      <c r="H30" s="351">
        <f>+'todruulga-Undsen hurungu'!H27/1000</f>
        <v>0</v>
      </c>
      <c r="I30" s="351">
        <f>+'todruulga-Undsen hurungu'!I27/1000</f>
        <v>0</v>
      </c>
      <c r="J30" s="352">
        <f t="shared" si="6"/>
        <v>0</v>
      </c>
      <c r="K30" s="537">
        <f t="shared" si="0"/>
        <v>0</v>
      </c>
      <c r="L30" s="399">
        <f>+K30+J30</f>
        <v>0</v>
      </c>
      <c r="N30" s="401">
        <f t="shared" si="1"/>
        <v>0</v>
      </c>
    </row>
    <row r="31" spans="1:14" s="400" customFormat="1">
      <c r="A31" s="29">
        <v>2.4</v>
      </c>
      <c r="B31" s="254" t="s">
        <v>195</v>
      </c>
      <c r="C31" s="352">
        <f>+C21+C22-C26</f>
        <v>0</v>
      </c>
      <c r="D31" s="352">
        <f t="shared" ref="D31:I31" si="9">+D21+D22-D26</f>
        <v>2043820.9127699998</v>
      </c>
      <c r="E31" s="352">
        <f t="shared" si="9"/>
        <v>26353031.600830004</v>
      </c>
      <c r="F31" s="352">
        <f t="shared" si="9"/>
        <v>552505.02885</v>
      </c>
      <c r="G31" s="352">
        <f>+'todruulga-Undsen hurungu'!G28/1000+'todruulga-Undsen hurungu'!J28/1000</f>
        <v>1084542.5285499999</v>
      </c>
      <c r="H31" s="352">
        <f t="shared" si="9"/>
        <v>1464235.7570400001</v>
      </c>
      <c r="I31" s="352">
        <f t="shared" si="9"/>
        <v>0</v>
      </c>
      <c r="J31" s="352">
        <f>+J21+J22-J26</f>
        <v>31498135.82804</v>
      </c>
      <c r="K31" s="537">
        <f t="shared" si="0"/>
        <v>31498135.82804</v>
      </c>
      <c r="L31" s="399"/>
      <c r="N31" s="401">
        <f t="shared" si="1"/>
        <v>28901809.886420004</v>
      </c>
    </row>
    <row r="32" spans="1:14" s="400" customFormat="1">
      <c r="A32" s="29">
        <v>3</v>
      </c>
      <c r="B32" s="254" t="s">
        <v>272</v>
      </c>
      <c r="C32" s="352">
        <f>+C19-C31</f>
        <v>2576719.2000000002</v>
      </c>
      <c r="D32" s="352">
        <f t="shared" ref="D32:I32" si="10">+D19-D31</f>
        <v>21282827.659570001</v>
      </c>
      <c r="E32" s="352">
        <f t="shared" si="10"/>
        <v>20787044.683829993</v>
      </c>
      <c r="F32" s="352">
        <f t="shared" si="10"/>
        <v>1193116.1129900003</v>
      </c>
      <c r="G32" s="352">
        <f>+'todruulga-Undsen hurungu'!G29/1000+'todruulga-Undsen hurungu'!J29/1000</f>
        <v>1845049.8129599995</v>
      </c>
      <c r="H32" s="352">
        <f t="shared" si="10"/>
        <v>420854.67536999984</v>
      </c>
      <c r="I32" s="352">
        <f t="shared" si="10"/>
        <v>0</v>
      </c>
      <c r="J32" s="352">
        <f t="shared" ref="J32" si="11">+J19-J31</f>
        <v>48105612.144719988</v>
      </c>
      <c r="K32" s="537">
        <f t="shared" si="0"/>
        <v>45528892.944719985</v>
      </c>
      <c r="L32" s="399"/>
      <c r="N32" s="401">
        <f t="shared" si="1"/>
        <v>23052949.172159992</v>
      </c>
    </row>
    <row r="33" spans="1:15" s="400" customFormat="1">
      <c r="A33" s="35">
        <v>3.1</v>
      </c>
      <c r="B33" s="254" t="s">
        <v>194</v>
      </c>
      <c r="C33" s="352">
        <f>+'todruulga-Undsen hurungu'!C30/1000</f>
        <v>2576719.2000000002</v>
      </c>
      <c r="D33" s="352">
        <f>+'todruulga-Undsen hurungu'!D30/1000</f>
        <v>19918552.539179996</v>
      </c>
      <c r="E33" s="352">
        <f>+'todruulga-Undsen hurungu'!E30/1000</f>
        <v>16892789.45975</v>
      </c>
      <c r="F33" s="352">
        <f>+'todruulga-Undsen hurungu'!F30/1000</f>
        <v>1037212.8972599999</v>
      </c>
      <c r="G33" s="352">
        <f>+'todruulga-Undsen hurungu'!G30/1000+'todruulga-Undsen hurungu'!J30/1000</f>
        <v>1548419.9908599998</v>
      </c>
      <c r="H33" s="352">
        <f>+'todruulga-Undsen hurungu'!H30/1000</f>
        <v>295781.55010999989</v>
      </c>
      <c r="I33" s="352">
        <f>+'todruulga-Undsen hurungu'!I30/1000</f>
        <v>0</v>
      </c>
      <c r="J33" s="352">
        <f t="shared" ref="J33" si="12">+J7-J21</f>
        <v>42269475.637159988</v>
      </c>
      <c r="K33" s="537">
        <f t="shared" si="0"/>
        <v>39692756.437159985</v>
      </c>
      <c r="L33" s="399"/>
      <c r="N33" s="401">
        <f t="shared" si="1"/>
        <v>18736991.000720002</v>
      </c>
    </row>
    <row r="34" spans="1:15">
      <c r="A34" s="35">
        <v>3.2</v>
      </c>
      <c r="B34" s="254" t="s">
        <v>195</v>
      </c>
      <c r="C34" s="352">
        <f>+'todruulga-Undsen hurungu'!C31/1000</f>
        <v>2576719.2000000002</v>
      </c>
      <c r="D34" s="352">
        <f>+'todruulga-Undsen hurungu'!D31/1000</f>
        <v>21282827.659569997</v>
      </c>
      <c r="E34" s="352">
        <f>+'todruulga-Undsen hurungu'!E31/1000</f>
        <v>20787044.683830004</v>
      </c>
      <c r="F34" s="352">
        <f>+'todruulga-Undsen hurungu'!F31/1000</f>
        <v>1193116.1129899998</v>
      </c>
      <c r="G34" s="352">
        <f>+'todruulga-Undsen hurungu'!G31/1000+'todruulga-Undsen hurungu'!J31/1000</f>
        <v>1845049.8129599995</v>
      </c>
      <c r="H34" s="352">
        <f>+'todruulga-Undsen hurungu'!H31/1000</f>
        <v>420854.6753699999</v>
      </c>
      <c r="I34" s="352">
        <f>+'todruulga-Undsen hurungu'!I31/1000</f>
        <v>0</v>
      </c>
      <c r="J34" s="352">
        <f t="shared" ref="J34" si="13">+J19-J31</f>
        <v>48105612.144719988</v>
      </c>
      <c r="K34" s="537">
        <f t="shared" si="0"/>
        <v>45528892.944719985</v>
      </c>
      <c r="N34" s="327">
        <f t="shared" si="1"/>
        <v>23052949.172160003</v>
      </c>
    </row>
    <row r="35" spans="1:15">
      <c r="A35" s="20"/>
      <c r="B35" s="64"/>
      <c r="C35" s="536"/>
      <c r="D35" s="536">
        <f>+D10+D11</f>
        <v>2332500.1437999997</v>
      </c>
      <c r="E35" s="536">
        <f t="shared" ref="E35:J35" si="14">+E10+E11</f>
        <v>8041411.1599300001</v>
      </c>
      <c r="F35" s="536">
        <f t="shared" si="14"/>
        <v>400148.12548000005</v>
      </c>
      <c r="G35" s="536">
        <f t="shared" si="14"/>
        <v>626686.72376999992</v>
      </c>
      <c r="H35" s="536">
        <f t="shared" si="14"/>
        <v>290543.72093999997</v>
      </c>
      <c r="I35" s="536">
        <f t="shared" si="14"/>
        <v>0</v>
      </c>
      <c r="J35" s="536">
        <f t="shared" si="14"/>
        <v>11691289.873919999</v>
      </c>
    </row>
    <row r="36" spans="1:15">
      <c r="A36" s="221" t="s">
        <v>273</v>
      </c>
      <c r="B36" s="222"/>
      <c r="C36" s="538"/>
      <c r="D36" s="538"/>
      <c r="E36" s="538"/>
      <c r="F36" s="538"/>
      <c r="G36" s="538"/>
      <c r="H36" s="538"/>
      <c r="I36" s="538"/>
      <c r="J36" s="538"/>
    </row>
    <row r="37" spans="1:15">
      <c r="A37" s="20"/>
      <c r="B37" s="64"/>
      <c r="C37" s="536"/>
      <c r="D37" s="536"/>
      <c r="E37" s="536"/>
      <c r="F37" s="536"/>
      <c r="G37" s="536"/>
      <c r="H37" s="536"/>
      <c r="I37" s="536"/>
      <c r="J37" s="536"/>
    </row>
    <row r="38" spans="1:15" ht="39.6">
      <c r="A38" s="27" t="s">
        <v>79</v>
      </c>
      <c r="B38" s="27" t="s">
        <v>5</v>
      </c>
      <c r="C38" s="435" t="s">
        <v>274</v>
      </c>
      <c r="D38" s="435" t="s">
        <v>275</v>
      </c>
      <c r="E38" s="435" t="s">
        <v>276</v>
      </c>
      <c r="F38" s="435" t="s">
        <v>277</v>
      </c>
      <c r="G38" s="435" t="s">
        <v>278</v>
      </c>
      <c r="H38" s="435" t="s">
        <v>279</v>
      </c>
      <c r="I38" s="435" t="s">
        <v>280</v>
      </c>
      <c r="J38" s="435" t="s">
        <v>281</v>
      </c>
    </row>
    <row r="39" spans="1:15">
      <c r="A39" s="49">
        <v>1</v>
      </c>
      <c r="B39" s="252" t="s">
        <v>282</v>
      </c>
      <c r="C39" s="351"/>
      <c r="D39" s="351"/>
      <c r="E39" s="351"/>
      <c r="F39" s="351"/>
      <c r="G39" s="351"/>
      <c r="H39" s="351"/>
      <c r="I39" s="351"/>
      <c r="J39" s="352"/>
      <c r="K39" s="537">
        <f t="shared" ref="K39:K64" si="15">+J39-C39</f>
        <v>0</v>
      </c>
    </row>
    <row r="40" spans="1:15">
      <c r="A40" s="1">
        <v>1.1000000000000001</v>
      </c>
      <c r="B40" s="254" t="s">
        <v>194</v>
      </c>
      <c r="C40" s="352">
        <f>+'todruulga-Undsen hurungu'!C43/1000</f>
        <v>0</v>
      </c>
      <c r="D40" s="352">
        <f>+'todruulga-Undsen hurungu'!D43/1000</f>
        <v>115905.25871000001</v>
      </c>
      <c r="E40" s="352">
        <f>+'todruulga-Undsen hurungu'!E43/1000</f>
        <v>0</v>
      </c>
      <c r="F40" s="352">
        <f>+'todruulga-Undsen hurungu'!F43/1000</f>
        <v>141869.45793999999</v>
      </c>
      <c r="G40" s="352">
        <f>+'todruulga-Undsen hurungu'!G43/1000</f>
        <v>0</v>
      </c>
      <c r="H40" s="352">
        <f>+'todruulga-Undsen hurungu'!H43/1000</f>
        <v>0</v>
      </c>
      <c r="I40" s="352">
        <f>+'todruulga-Undsen hurungu'!I43/1000</f>
        <v>0</v>
      </c>
      <c r="J40" s="352">
        <f>SUM(D40:I40)</f>
        <v>257774.71665000002</v>
      </c>
      <c r="K40" s="537">
        <f t="shared" si="15"/>
        <v>257774.71665000002</v>
      </c>
      <c r="L40" s="245">
        <v>17664456</v>
      </c>
      <c r="M40" s="245">
        <v>1059423</v>
      </c>
      <c r="N40" s="245">
        <v>861044</v>
      </c>
      <c r="O40" s="245">
        <v>33411997</v>
      </c>
    </row>
    <row r="41" spans="1:15" ht="13.8">
      <c r="A41" s="1">
        <v>1.2</v>
      </c>
      <c r="B41" s="255" t="s">
        <v>233</v>
      </c>
      <c r="C41" s="352">
        <f>+'todruulga-Undsen hurungu'!C44/1000</f>
        <v>0</v>
      </c>
      <c r="D41" s="352">
        <f>+'todruulga-Undsen hurungu'!D44/1000</f>
        <v>38502.229799999994</v>
      </c>
      <c r="E41" s="352">
        <f>+'todruulga-Undsen hurungu'!E44/1000</f>
        <v>0</v>
      </c>
      <c r="F41" s="352">
        <f>+'todruulga-Undsen hurungu'!F44/1000</f>
        <v>0</v>
      </c>
      <c r="G41" s="352">
        <f>+'todruulga-Undsen hurungu'!G44/1000</f>
        <v>0</v>
      </c>
      <c r="H41" s="352">
        <f>+'todruulga-Undsen hurungu'!H44/1000</f>
        <v>0</v>
      </c>
      <c r="I41" s="352">
        <f>+'todruulga-Undsen hurungu'!I44/1000</f>
        <v>0</v>
      </c>
      <c r="J41" s="352">
        <f t="shared" ref="J41:J64" si="16">SUM(D41:I41)</f>
        <v>38502.229799999994</v>
      </c>
      <c r="K41" s="537">
        <f t="shared" si="15"/>
        <v>38502.229799999994</v>
      </c>
      <c r="L41" s="245">
        <v>16208537.250860009</v>
      </c>
      <c r="M41" s="245">
        <v>1090088.4452899965</v>
      </c>
      <c r="N41" s="245">
        <v>929514.53112999978</v>
      </c>
      <c r="O41" s="245">
        <v>38284770.267165914</v>
      </c>
    </row>
    <row r="42" spans="1:15">
      <c r="A42" s="1"/>
      <c r="B42" s="58" t="s">
        <v>257</v>
      </c>
      <c r="C42" s="351">
        <f>+'todruulga-Undsen hurungu'!C45/1000</f>
        <v>0</v>
      </c>
      <c r="D42" s="351">
        <f>+'todruulga-Undsen hurungu'!D45/1000</f>
        <v>0</v>
      </c>
      <c r="E42" s="351">
        <f>+'todruulga-Undsen hurungu'!E45/1000</f>
        <v>0</v>
      </c>
      <c r="F42" s="351">
        <f>+'todruulga-Undsen hurungu'!F45/1000</f>
        <v>0</v>
      </c>
      <c r="G42" s="351">
        <f>+'todruulga-Undsen hurungu'!G45/1000</f>
        <v>0</v>
      </c>
      <c r="H42" s="351">
        <f>+'todruulga-Undsen hurungu'!H45/1000</f>
        <v>0</v>
      </c>
      <c r="I42" s="351">
        <f>+'todruulga-Undsen hurungu'!I45/1000</f>
        <v>0</v>
      </c>
      <c r="J42" s="352">
        <f t="shared" si="16"/>
        <v>0</v>
      </c>
      <c r="K42" s="537">
        <f t="shared" si="15"/>
        <v>0</v>
      </c>
    </row>
    <row r="43" spans="1:15">
      <c r="A43" s="1"/>
      <c r="B43" s="58" t="s">
        <v>258</v>
      </c>
      <c r="C43" s="351">
        <f>+'todruulga-Undsen hurungu'!C46/1000</f>
        <v>0</v>
      </c>
      <c r="D43" s="351">
        <f>+'todruulga-Undsen hurungu'!D46/1000</f>
        <v>5233.3398999999999</v>
      </c>
      <c r="E43" s="351">
        <f>+'todruulga-Undsen hurungu'!E46/1000</f>
        <v>0</v>
      </c>
      <c r="F43" s="351">
        <f>+'todruulga-Undsen hurungu'!F46/1000</f>
        <v>0</v>
      </c>
      <c r="G43" s="351">
        <f>+'todruulga-Undsen hurungu'!G46/1000</f>
        <v>0</v>
      </c>
      <c r="H43" s="351">
        <f>+'todruulga-Undsen hurungu'!H46/1000</f>
        <v>0</v>
      </c>
      <c r="I43" s="351">
        <f>+'todruulga-Undsen hurungu'!I46/1000</f>
        <v>0</v>
      </c>
      <c r="J43" s="352">
        <f t="shared" si="16"/>
        <v>5233.3398999999999</v>
      </c>
      <c r="K43" s="537">
        <f t="shared" si="15"/>
        <v>5233.3398999999999</v>
      </c>
      <c r="L43" s="245">
        <f t="shared" ref="L43:O43" si="17">+L40-E33</f>
        <v>771666.54024999961</v>
      </c>
      <c r="M43" s="245">
        <f t="shared" si="17"/>
        <v>22210.102740000119</v>
      </c>
      <c r="N43" s="245">
        <f t="shared" si="17"/>
        <v>-687375.99085999979</v>
      </c>
      <c r="O43" s="245">
        <f t="shared" si="17"/>
        <v>33116215.449889999</v>
      </c>
    </row>
    <row r="44" spans="1:15">
      <c r="A44" s="1"/>
      <c r="B44" s="58" t="s">
        <v>259</v>
      </c>
      <c r="C44" s="351">
        <f>+'todruulga-Undsen hurungu'!C47/1000</f>
        <v>0</v>
      </c>
      <c r="D44" s="351">
        <f>+'todruulga-Undsen hurungu'!D47/1000</f>
        <v>0</v>
      </c>
      <c r="E44" s="351">
        <f>+'todruulga-Undsen hurungu'!E47/1000</f>
        <v>0</v>
      </c>
      <c r="F44" s="351">
        <f>+'todruulga-Undsen hurungu'!F47/1000</f>
        <v>0</v>
      </c>
      <c r="G44" s="351">
        <f>+'todruulga-Undsen hurungu'!G47/1000</f>
        <v>0</v>
      </c>
      <c r="H44" s="351">
        <f>+'todruulga-Undsen hurungu'!H47/1000</f>
        <v>0</v>
      </c>
      <c r="I44" s="351">
        <f>+'todruulga-Undsen hurungu'!I47/1000</f>
        <v>0</v>
      </c>
      <c r="J44" s="352">
        <f t="shared" si="16"/>
        <v>0</v>
      </c>
      <c r="K44" s="537">
        <f t="shared" si="15"/>
        <v>0</v>
      </c>
      <c r="L44" s="245">
        <f t="shared" ref="L44:O44" si="18">+L41-E34</f>
        <v>-4578507.4329699948</v>
      </c>
      <c r="M44" s="245">
        <f t="shared" si="18"/>
        <v>-103027.66770000337</v>
      </c>
      <c r="N44" s="245">
        <f t="shared" si="18"/>
        <v>-915535.28182999976</v>
      </c>
      <c r="O44" s="245">
        <f t="shared" si="18"/>
        <v>37863915.591795914</v>
      </c>
    </row>
    <row r="45" spans="1:15" ht="26.4">
      <c r="A45" s="1"/>
      <c r="B45" s="241" t="s">
        <v>1047</v>
      </c>
      <c r="C45" s="351">
        <f>+'todruulga-Undsen hurungu'!C48/1000</f>
        <v>0</v>
      </c>
      <c r="D45" s="351">
        <f>+'todruulga-Undsen hurungu'!D48/1000</f>
        <v>33268.889900000002</v>
      </c>
      <c r="E45" s="351">
        <f>+'todruulga-Undsen hurungu'!E48/1000</f>
        <v>0</v>
      </c>
      <c r="F45" s="351">
        <f>+'todruulga-Undsen hurungu'!F48/1000</f>
        <v>0</v>
      </c>
      <c r="G45" s="351">
        <f>+'todruulga-Undsen hurungu'!G48/1000</f>
        <v>0</v>
      </c>
      <c r="H45" s="351">
        <f>+'todruulga-Undsen hurungu'!H48/1000</f>
        <v>0</v>
      </c>
      <c r="I45" s="351">
        <f>+'todruulga-Undsen hurungu'!I48/1000</f>
        <v>0</v>
      </c>
      <c r="J45" s="352">
        <f t="shared" si="16"/>
        <v>33268.889900000002</v>
      </c>
      <c r="K45" s="537">
        <f t="shared" si="15"/>
        <v>33268.889900000002</v>
      </c>
    </row>
    <row r="46" spans="1:15">
      <c r="A46" s="1">
        <v>1.3</v>
      </c>
      <c r="B46" s="256" t="s">
        <v>269</v>
      </c>
      <c r="C46" s="351">
        <f>+'todruulga-Undsen hurungu'!C49/1000</f>
        <v>0</v>
      </c>
      <c r="D46" s="351">
        <f>+'todruulga-Undsen hurungu'!D49/1000</f>
        <v>0</v>
      </c>
      <c r="E46" s="351">
        <f>+'todruulga-Undsen hurungu'!E49/1000</f>
        <v>0</v>
      </c>
      <c r="F46" s="351">
        <f>+'todruulga-Undsen hurungu'!F49/1000</f>
        <v>0</v>
      </c>
      <c r="G46" s="351">
        <f>+'todruulga-Undsen hurungu'!G49/1000</f>
        <v>0</v>
      </c>
      <c r="H46" s="351">
        <f>+'todruulga-Undsen hurungu'!H49/1000</f>
        <v>0</v>
      </c>
      <c r="I46" s="351">
        <f>+'todruulga-Undsen hurungu'!I49/1000</f>
        <v>0</v>
      </c>
      <c r="J46" s="352">
        <f>SUM(D46:I46)</f>
        <v>0</v>
      </c>
      <c r="K46" s="537">
        <f t="shared" si="15"/>
        <v>0</v>
      </c>
    </row>
    <row r="47" spans="1:15">
      <c r="A47" s="1"/>
      <c r="B47" s="58" t="s">
        <v>261</v>
      </c>
      <c r="C47" s="351">
        <f>+'todruulga-Undsen hurungu'!C50/1000</f>
        <v>0</v>
      </c>
      <c r="D47" s="351">
        <f>+'todruulga-Undsen hurungu'!D50/1000</f>
        <v>0</v>
      </c>
      <c r="E47" s="351">
        <f>+'todruulga-Undsen hurungu'!E50/1000</f>
        <v>0</v>
      </c>
      <c r="F47" s="351">
        <f>+'todruulga-Undsen hurungu'!F50/1000</f>
        <v>0</v>
      </c>
      <c r="G47" s="351">
        <f>+'todruulga-Undsen hurungu'!G50/1000</f>
        <v>0</v>
      </c>
      <c r="H47" s="351">
        <f>+'todruulga-Undsen hurungu'!H50/1000</f>
        <v>0</v>
      </c>
      <c r="I47" s="351">
        <f>+'todruulga-Undsen hurungu'!I50/1000</f>
        <v>0</v>
      </c>
      <c r="J47" s="352">
        <f t="shared" si="16"/>
        <v>0</v>
      </c>
      <c r="K47" s="537">
        <f t="shared" si="15"/>
        <v>0</v>
      </c>
    </row>
    <row r="48" spans="1:15">
      <c r="A48" s="1"/>
      <c r="B48" s="58" t="s">
        <v>1048</v>
      </c>
      <c r="C48" s="351">
        <f>+'todruulga-Undsen hurungu'!C51/1000</f>
        <v>0</v>
      </c>
      <c r="D48" s="351">
        <f>+'todruulga-Undsen hurungu'!D51/1000</f>
        <v>0</v>
      </c>
      <c r="E48" s="351">
        <f>+'todruulga-Undsen hurungu'!E51/1000</f>
        <v>0</v>
      </c>
      <c r="F48" s="351">
        <f>+'todruulga-Undsen hurungu'!F51/1000</f>
        <v>0</v>
      </c>
      <c r="G48" s="351">
        <f>+'todruulga-Undsen hurungu'!G51/1000</f>
        <v>0</v>
      </c>
      <c r="H48" s="351">
        <f>+'todruulga-Undsen hurungu'!H51/1000</f>
        <v>0</v>
      </c>
      <c r="I48" s="351">
        <f>+'todruulga-Undsen hurungu'!I51/1000</f>
        <v>0</v>
      </c>
      <c r="J48" s="352">
        <f t="shared" si="16"/>
        <v>0</v>
      </c>
      <c r="K48" s="537">
        <f t="shared" si="15"/>
        <v>0</v>
      </c>
    </row>
    <row r="49" spans="1:11">
      <c r="A49" s="1"/>
      <c r="B49" s="58" t="s">
        <v>283</v>
      </c>
      <c r="C49" s="351">
        <f>+'todruulga-Undsen hurungu'!C52/1000</f>
        <v>0</v>
      </c>
      <c r="D49" s="351">
        <f>+'todruulga-Undsen hurungu'!D52/1000</f>
        <v>0</v>
      </c>
      <c r="E49" s="351">
        <f>+'todruulga-Undsen hurungu'!E52/1000</f>
        <v>0</v>
      </c>
      <c r="F49" s="351">
        <f>+'todruulga-Undsen hurungu'!F52/1000</f>
        <v>0</v>
      </c>
      <c r="G49" s="351">
        <f>+'todruulga-Undsen hurungu'!G52/1000</f>
        <v>0</v>
      </c>
      <c r="H49" s="351">
        <f>+'todruulga-Undsen hurungu'!H52/1000</f>
        <v>0</v>
      </c>
      <c r="I49" s="351">
        <f>+'todruulga-Undsen hurungu'!I52/1000</f>
        <v>0</v>
      </c>
      <c r="J49" s="352">
        <f t="shared" si="16"/>
        <v>0</v>
      </c>
      <c r="K49" s="537">
        <f t="shared" si="15"/>
        <v>0</v>
      </c>
    </row>
    <row r="50" spans="1:11">
      <c r="A50" s="1">
        <v>1.4</v>
      </c>
      <c r="B50" s="254" t="s">
        <v>195</v>
      </c>
      <c r="C50" s="352">
        <f>+'todruulga-Undsen hurungu'!C53/1000</f>
        <v>0</v>
      </c>
      <c r="D50" s="352">
        <f>+'todruulga-Undsen hurungu'!D53/1000</f>
        <v>154407.48851</v>
      </c>
      <c r="E50" s="352">
        <f>+'todruulga-Undsen hurungu'!E53/1000</f>
        <v>0</v>
      </c>
      <c r="F50" s="352">
        <f>+'todruulga-Undsen hurungu'!F53/1000</f>
        <v>141869.45793999999</v>
      </c>
      <c r="G50" s="352">
        <f>+'todruulga-Undsen hurungu'!G53/1000</f>
        <v>0</v>
      </c>
      <c r="H50" s="352">
        <f>+'todruulga-Undsen hurungu'!H53/1000</f>
        <v>0</v>
      </c>
      <c r="I50" s="352">
        <f>+'todruulga-Undsen hurungu'!I53/1000</f>
        <v>0</v>
      </c>
      <c r="J50" s="352">
        <f>SUM(D50:I50)</f>
        <v>296276.94644999999</v>
      </c>
      <c r="K50" s="537">
        <f t="shared" si="15"/>
        <v>296276.94644999999</v>
      </c>
    </row>
    <row r="51" spans="1:11">
      <c r="A51" s="49">
        <v>2</v>
      </c>
      <c r="B51" s="252" t="s">
        <v>284</v>
      </c>
      <c r="C51" s="352">
        <f>+'todruulga-Undsen hurungu'!C54/1000</f>
        <v>0</v>
      </c>
      <c r="D51" s="352">
        <f>+'todruulga-Undsen hurungu'!D54/1000</f>
        <v>0</v>
      </c>
      <c r="E51" s="352">
        <f>+'todruulga-Undsen hurungu'!E54/1000</f>
        <v>0</v>
      </c>
      <c r="F51" s="352">
        <f>+'todruulga-Undsen hurungu'!F54/1000</f>
        <v>0</v>
      </c>
      <c r="G51" s="352">
        <f>+'todruulga-Undsen hurungu'!G54/1000</f>
        <v>0</v>
      </c>
      <c r="H51" s="352">
        <f>+'todruulga-Undsen hurungu'!H54/1000</f>
        <v>0</v>
      </c>
      <c r="I51" s="352">
        <f>+'todruulga-Undsen hurungu'!I54/1000</f>
        <v>0</v>
      </c>
      <c r="J51" s="352">
        <f t="shared" si="16"/>
        <v>0</v>
      </c>
      <c r="K51" s="537">
        <f t="shared" si="15"/>
        <v>0</v>
      </c>
    </row>
    <row r="52" spans="1:11">
      <c r="A52" s="1">
        <v>2.1</v>
      </c>
      <c r="B52" s="254" t="s">
        <v>194</v>
      </c>
      <c r="C52" s="352">
        <f>+'todruulga-Undsen hurungu'!C55/1000</f>
        <v>0</v>
      </c>
      <c r="D52" s="352">
        <f>+'todruulga-Undsen hurungu'!D55/1000</f>
        <v>19964.397589996337</v>
      </c>
      <c r="E52" s="352">
        <f>+'todruulga-Undsen hurungu'!E55/1000</f>
        <v>0</v>
      </c>
      <c r="F52" s="352">
        <f>+'todruulga-Undsen hurungu'!F55/1000</f>
        <v>1068.6756</v>
      </c>
      <c r="G52" s="352">
        <f>+'todruulga-Undsen hurungu'!G55/1000</f>
        <v>0</v>
      </c>
      <c r="H52" s="352">
        <f>+'todruulga-Undsen hurungu'!H55/1000</f>
        <v>0</v>
      </c>
      <c r="I52" s="352">
        <f>+'todruulga-Undsen hurungu'!I55/1000</f>
        <v>0</v>
      </c>
      <c r="J52" s="352">
        <f t="shared" si="16"/>
        <v>21033.073189996336</v>
      </c>
      <c r="K52" s="537">
        <f t="shared" si="15"/>
        <v>21033.073189996336</v>
      </c>
    </row>
    <row r="53" spans="1:11" ht="13.8">
      <c r="A53" s="1">
        <v>2.2000000000000002</v>
      </c>
      <c r="B53" s="255" t="s">
        <v>233</v>
      </c>
      <c r="C53" s="352">
        <f>+'todruulga-Undsen hurungu'!C56/1000</f>
        <v>0</v>
      </c>
      <c r="D53" s="352">
        <f>+'todruulga-Undsen hurungu'!D56/1000</f>
        <v>55451.268459999999</v>
      </c>
      <c r="E53" s="352">
        <f>+'todruulga-Undsen hurungu'!E56/1000</f>
        <v>0</v>
      </c>
      <c r="F53" s="352">
        <f>+'todruulga-Undsen hurungu'!F56/1000</f>
        <v>50828.59446</v>
      </c>
      <c r="G53" s="352">
        <f>+'todruulga-Undsen hurungu'!G56/1000</f>
        <v>0</v>
      </c>
      <c r="H53" s="352">
        <f>+'todruulga-Undsen hurungu'!H56/1000</f>
        <v>0</v>
      </c>
      <c r="I53" s="352">
        <f>+'todruulga-Undsen hurungu'!I56/1000</f>
        <v>0</v>
      </c>
      <c r="J53" s="352">
        <f>SUM(D53:I53)</f>
        <v>106279.86292</v>
      </c>
      <c r="K53" s="537">
        <f t="shared" si="15"/>
        <v>106279.86292</v>
      </c>
    </row>
    <row r="54" spans="1:11">
      <c r="A54" s="1"/>
      <c r="B54" s="58" t="s">
        <v>285</v>
      </c>
      <c r="C54" s="351">
        <f>+'todruulga-Undsen hurungu'!C57/1000</f>
        <v>0</v>
      </c>
      <c r="D54" s="351">
        <f>+'todruulga-Undsen hurungu'!D57/1000</f>
        <v>55451.268459999999</v>
      </c>
      <c r="E54" s="351">
        <f>+'todruulga-Undsen hurungu'!E57/1000</f>
        <v>0</v>
      </c>
      <c r="F54" s="351">
        <f>+'todruulga-Undsen hurungu'!F57/1000</f>
        <v>50828.59446</v>
      </c>
      <c r="G54" s="351">
        <f>+'todruulga-Undsen hurungu'!G57/1000</f>
        <v>0</v>
      </c>
      <c r="H54" s="351">
        <f>+'todruulga-Undsen hurungu'!H57/1000</f>
        <v>0</v>
      </c>
      <c r="I54" s="351">
        <f>+'todruulga-Undsen hurungu'!I57/1000</f>
        <v>0</v>
      </c>
      <c r="J54" s="352">
        <f t="shared" si="16"/>
        <v>106279.86292</v>
      </c>
      <c r="K54" s="537">
        <f t="shared" si="15"/>
        <v>106279.86292</v>
      </c>
    </row>
    <row r="55" spans="1:11">
      <c r="A55" s="1"/>
      <c r="B55" s="241" t="s">
        <v>286</v>
      </c>
      <c r="C55" s="351">
        <f>+'todruulga-Undsen hurungu'!C58/1000</f>
        <v>0</v>
      </c>
      <c r="D55" s="351">
        <f>+'todruulga-Undsen hurungu'!D58/1000</f>
        <v>0</v>
      </c>
      <c r="E55" s="351">
        <f>+'todruulga-Undsen hurungu'!E58/1000</f>
        <v>0</v>
      </c>
      <c r="F55" s="351">
        <f>+'todruulga-Undsen hurungu'!F58/1000</f>
        <v>0</v>
      </c>
      <c r="G55" s="351">
        <f>+'todruulga-Undsen hurungu'!G58/1000</f>
        <v>0</v>
      </c>
      <c r="H55" s="351">
        <f>+'todruulga-Undsen hurungu'!H58/1000</f>
        <v>0</v>
      </c>
      <c r="I55" s="351">
        <f>+'todruulga-Undsen hurungu'!I58/1000</f>
        <v>0</v>
      </c>
      <c r="J55" s="352">
        <f t="shared" si="16"/>
        <v>0</v>
      </c>
      <c r="K55" s="537">
        <f t="shared" si="15"/>
        <v>0</v>
      </c>
    </row>
    <row r="56" spans="1:11" ht="26.4">
      <c r="A56" s="1"/>
      <c r="B56" s="241" t="s">
        <v>268</v>
      </c>
      <c r="C56" s="351">
        <f>+'todruulga-Undsen hurungu'!C59/1000</f>
        <v>0</v>
      </c>
      <c r="D56" s="351">
        <f>+'todruulga-Undsen hurungu'!D59/1000</f>
        <v>0</v>
      </c>
      <c r="E56" s="351">
        <f>+'todruulga-Undsen hurungu'!E59/1000</f>
        <v>0</v>
      </c>
      <c r="F56" s="351">
        <f>+'todruulga-Undsen hurungu'!F59/1000</f>
        <v>0</v>
      </c>
      <c r="G56" s="351">
        <f>+'todruulga-Undsen hurungu'!G59/1000</f>
        <v>0</v>
      </c>
      <c r="H56" s="351">
        <f>+'todruulga-Undsen hurungu'!H59/1000</f>
        <v>0</v>
      </c>
      <c r="I56" s="351">
        <f>+'todruulga-Undsen hurungu'!I59/1000</f>
        <v>0</v>
      </c>
      <c r="J56" s="352">
        <f t="shared" si="16"/>
        <v>0</v>
      </c>
      <c r="K56" s="537">
        <f t="shared" si="15"/>
        <v>0</v>
      </c>
    </row>
    <row r="57" spans="1:11">
      <c r="A57" s="1">
        <v>2.2999999999999998</v>
      </c>
      <c r="B57" s="58" t="s">
        <v>269</v>
      </c>
      <c r="C57" s="351">
        <f>+'todruulga-Undsen hurungu'!C60/1000</f>
        <v>0</v>
      </c>
      <c r="D57" s="351">
        <f>+'todruulga-Undsen hurungu'!D60/1000</f>
        <v>0</v>
      </c>
      <c r="E57" s="351">
        <f>+'todruulga-Undsen hurungu'!E60/1000</f>
        <v>0</v>
      </c>
      <c r="F57" s="351">
        <f>+'todruulga-Undsen hurungu'!F60/1000</f>
        <v>0</v>
      </c>
      <c r="G57" s="351">
        <f>+'todruulga-Undsen hurungu'!G60/1000</f>
        <v>0</v>
      </c>
      <c r="H57" s="351">
        <f>+'todruulga-Undsen hurungu'!H60/1000</f>
        <v>0</v>
      </c>
      <c r="I57" s="351">
        <f>+'todruulga-Undsen hurungu'!I60/1000</f>
        <v>0</v>
      </c>
      <c r="J57" s="352">
        <f t="shared" si="16"/>
        <v>0</v>
      </c>
      <c r="K57" s="537">
        <f t="shared" si="15"/>
        <v>0</v>
      </c>
    </row>
    <row r="58" spans="1:11" ht="26.4">
      <c r="A58" s="1"/>
      <c r="B58" s="241" t="s">
        <v>287</v>
      </c>
      <c r="C58" s="351">
        <f>+'todruulga-Undsen hurungu'!C61/1000</f>
        <v>0</v>
      </c>
      <c r="D58" s="351">
        <f>+'todruulga-Undsen hurungu'!D61/1000</f>
        <v>0</v>
      </c>
      <c r="E58" s="351">
        <f>+'todruulga-Undsen hurungu'!E61/1000</f>
        <v>0</v>
      </c>
      <c r="F58" s="351">
        <f>+'todruulga-Undsen hurungu'!F61/1000</f>
        <v>0</v>
      </c>
      <c r="G58" s="351">
        <f>+'todruulga-Undsen hurungu'!G61/1000</f>
        <v>0</v>
      </c>
      <c r="H58" s="351">
        <f>+'todruulga-Undsen hurungu'!H61/1000</f>
        <v>0</v>
      </c>
      <c r="I58" s="351">
        <f>+'todruulga-Undsen hurungu'!I61/1000</f>
        <v>0</v>
      </c>
      <c r="J58" s="352">
        <f t="shared" si="16"/>
        <v>0</v>
      </c>
      <c r="K58" s="537">
        <f t="shared" si="15"/>
        <v>0</v>
      </c>
    </row>
    <row r="59" spans="1:11">
      <c r="A59" s="1"/>
      <c r="B59" s="241" t="s">
        <v>270</v>
      </c>
      <c r="C59" s="351">
        <f>+'todruulga-Undsen hurungu'!C62/1000</f>
        <v>0</v>
      </c>
      <c r="D59" s="351">
        <f>+'todruulga-Undsen hurungu'!D62/1000</f>
        <v>0</v>
      </c>
      <c r="E59" s="351">
        <f>+'todruulga-Undsen hurungu'!E62/1000</f>
        <v>0</v>
      </c>
      <c r="F59" s="351">
        <f>+'todruulga-Undsen hurungu'!F62/1000</f>
        <v>0</v>
      </c>
      <c r="G59" s="351">
        <f>+'todruulga-Undsen hurungu'!G62/1000</f>
        <v>0</v>
      </c>
      <c r="H59" s="351">
        <f>+'todruulga-Undsen hurungu'!H62/1000</f>
        <v>0</v>
      </c>
      <c r="I59" s="351">
        <f>+'todruulga-Undsen hurungu'!I62/1000</f>
        <v>0</v>
      </c>
      <c r="J59" s="352">
        <f t="shared" si="16"/>
        <v>0</v>
      </c>
      <c r="K59" s="537">
        <f t="shared" si="15"/>
        <v>0</v>
      </c>
    </row>
    <row r="60" spans="1:11">
      <c r="A60" s="1"/>
      <c r="B60" s="58" t="s">
        <v>271</v>
      </c>
      <c r="C60" s="351">
        <f>+'todruulga-Undsen hurungu'!C63/1000</f>
        <v>0</v>
      </c>
      <c r="D60" s="351">
        <f>+'todruulga-Undsen hurungu'!D63/1000</f>
        <v>0</v>
      </c>
      <c r="E60" s="351">
        <f>+'todruulga-Undsen hurungu'!E63/1000</f>
        <v>0</v>
      </c>
      <c r="F60" s="351">
        <f>+'todruulga-Undsen hurungu'!F63/1000</f>
        <v>0</v>
      </c>
      <c r="G60" s="351">
        <f>+'todruulga-Undsen hurungu'!G63/1000</f>
        <v>0</v>
      </c>
      <c r="H60" s="351">
        <f>+'todruulga-Undsen hurungu'!H63/1000</f>
        <v>0</v>
      </c>
      <c r="I60" s="351">
        <f>+'todruulga-Undsen hurungu'!I63/1000</f>
        <v>0</v>
      </c>
      <c r="J60" s="352">
        <f t="shared" si="16"/>
        <v>0</v>
      </c>
      <c r="K60" s="537">
        <f t="shared" si="15"/>
        <v>0</v>
      </c>
    </row>
    <row r="61" spans="1:11">
      <c r="A61" s="1">
        <v>2.4</v>
      </c>
      <c r="B61" s="254" t="s">
        <v>195</v>
      </c>
      <c r="C61" s="352">
        <f>+'todruulga-Undsen hurungu'!C64/1000</f>
        <v>0</v>
      </c>
      <c r="D61" s="352">
        <f>+'todruulga-Undsen hurungu'!D64/1000</f>
        <v>75415.666049996347</v>
      </c>
      <c r="E61" s="352">
        <f>+'todruulga-Undsen hurungu'!E64/1000</f>
        <v>0</v>
      </c>
      <c r="F61" s="352">
        <f>+'todruulga-Undsen hurungu'!F64/1000</f>
        <v>51897.270060000003</v>
      </c>
      <c r="G61" s="352">
        <f>+'todruulga-Undsen hurungu'!G64/1000</f>
        <v>0</v>
      </c>
      <c r="H61" s="352">
        <f>+'todruulga-Undsen hurungu'!H64/1000</f>
        <v>0</v>
      </c>
      <c r="I61" s="352">
        <f>+'todruulga-Undsen hurungu'!I64/1000</f>
        <v>0</v>
      </c>
      <c r="J61" s="352">
        <f t="shared" si="16"/>
        <v>127312.93610999634</v>
      </c>
      <c r="K61" s="537">
        <f t="shared" si="15"/>
        <v>127312.93610999634</v>
      </c>
    </row>
    <row r="62" spans="1:11">
      <c r="A62" s="29">
        <v>3</v>
      </c>
      <c r="B62" s="254" t="s">
        <v>272</v>
      </c>
      <c r="C62" s="352">
        <f>+'todruulga-Undsen hurungu'!C65/1000</f>
        <v>0</v>
      </c>
      <c r="D62" s="352">
        <f>+'todruulga-Undsen hurungu'!D65/1000</f>
        <v>78991.822460003648</v>
      </c>
      <c r="E62" s="352">
        <f>+'todruulga-Undsen hurungu'!E65/1000</f>
        <v>0</v>
      </c>
      <c r="F62" s="352">
        <f>+'todruulga-Undsen hurungu'!F65/1000</f>
        <v>89972.187879999998</v>
      </c>
      <c r="G62" s="352">
        <f>+'todruulga-Undsen hurungu'!G65/1000</f>
        <v>0</v>
      </c>
      <c r="H62" s="352">
        <f>+'todruulga-Undsen hurungu'!H65/1000</f>
        <v>0</v>
      </c>
      <c r="I62" s="352">
        <f>+'todruulga-Undsen hurungu'!I65/1000</f>
        <v>0</v>
      </c>
      <c r="J62" s="352">
        <f t="shared" si="16"/>
        <v>168964.01034000365</v>
      </c>
      <c r="K62" s="537">
        <f t="shared" si="15"/>
        <v>168964.01034000365</v>
      </c>
    </row>
    <row r="63" spans="1:11">
      <c r="A63" s="29">
        <v>3.1</v>
      </c>
      <c r="B63" s="254" t="s">
        <v>288</v>
      </c>
      <c r="C63" s="352">
        <f>+'todruulga-Undsen hurungu'!C66/1000</f>
        <v>0</v>
      </c>
      <c r="D63" s="352">
        <f>+'todruulga-Undsen hurungu'!D66/1000</f>
        <v>0</v>
      </c>
      <c r="E63" s="352">
        <f>+'todruulga-Undsen hurungu'!E66/1000</f>
        <v>0</v>
      </c>
      <c r="F63" s="352">
        <f>+'todruulga-Undsen hurungu'!F66/1000</f>
        <v>140800.78234000001</v>
      </c>
      <c r="G63" s="352">
        <f>+'todruulga-Undsen hurungu'!G66/1000</f>
        <v>0</v>
      </c>
      <c r="H63" s="352">
        <f>+'todruulga-Undsen hurungu'!H66/1000</f>
        <v>0</v>
      </c>
      <c r="I63" s="352">
        <f>+'todruulga-Undsen hurungu'!I66/1000</f>
        <v>0</v>
      </c>
      <c r="J63" s="352">
        <f t="shared" si="16"/>
        <v>140800.78234000001</v>
      </c>
      <c r="K63" s="537">
        <f t="shared" si="15"/>
        <v>140800.78234000001</v>
      </c>
    </row>
    <row r="64" spans="1:11">
      <c r="A64" s="29">
        <v>3.2</v>
      </c>
      <c r="B64" s="254" t="s">
        <v>289</v>
      </c>
      <c r="C64" s="352">
        <f>+'todruulga-Undsen hurungu'!C67/1000</f>
        <v>0</v>
      </c>
      <c r="D64" s="352">
        <f>+'todruulga-Undsen hurungu'!D67/1000</f>
        <v>78991.822460003648</v>
      </c>
      <c r="E64" s="352">
        <f>+'todruulga-Undsen hurungu'!E67/1000</f>
        <v>0</v>
      </c>
      <c r="F64" s="352">
        <f>+'todruulga-Undsen hurungu'!F67/1000</f>
        <v>89972.187879999998</v>
      </c>
      <c r="G64" s="352">
        <f>+'todruulga-Undsen hurungu'!G67/1000</f>
        <v>0</v>
      </c>
      <c r="H64" s="352">
        <f>+'todruulga-Undsen hurungu'!H67/1000</f>
        <v>0</v>
      </c>
      <c r="I64" s="352">
        <f>+'todruulga-Undsen hurungu'!I67/1000</f>
        <v>0</v>
      </c>
      <c r="J64" s="352">
        <f t="shared" si="16"/>
        <v>168964.01034000365</v>
      </c>
      <c r="K64" s="537">
        <f t="shared" si="15"/>
        <v>168964.01034000365</v>
      </c>
    </row>
    <row r="65" spans="1:11">
      <c r="A65" s="20"/>
      <c r="B65" s="64"/>
      <c r="C65" s="536"/>
      <c r="D65" s="536"/>
      <c r="E65" s="536"/>
      <c r="F65" s="536"/>
      <c r="G65" s="536"/>
      <c r="H65" s="536"/>
      <c r="I65" s="536"/>
      <c r="J65" s="536"/>
      <c r="K65" s="537">
        <f>+J64-'BL mn'!N91/1000</f>
        <v>-3.9996346458792686E-5</v>
      </c>
    </row>
    <row r="66" spans="1:11" hidden="1">
      <c r="A66" s="20"/>
      <c r="B66" s="64"/>
      <c r="C66" s="536"/>
      <c r="D66" s="536"/>
      <c r="E66" s="536"/>
      <c r="F66" s="536"/>
      <c r="G66" s="536"/>
      <c r="H66" s="536"/>
      <c r="I66" s="536"/>
      <c r="J66" s="536"/>
    </row>
    <row r="67" spans="1:11" hidden="1">
      <c r="A67" s="20"/>
      <c r="B67" s="64"/>
      <c r="C67" s="536"/>
      <c r="D67" s="536"/>
      <c r="E67" s="536"/>
      <c r="F67" s="536"/>
      <c r="G67" s="536"/>
      <c r="H67" s="536"/>
      <c r="I67" s="536"/>
      <c r="J67" s="536"/>
    </row>
    <row r="68" spans="1:11" hidden="1">
      <c r="A68" s="20"/>
      <c r="B68" s="64"/>
      <c r="C68" s="536"/>
      <c r="D68" s="536"/>
      <c r="E68" s="536"/>
      <c r="F68" s="536"/>
      <c r="G68" s="536"/>
      <c r="H68" s="536"/>
      <c r="I68" s="536"/>
      <c r="J68" s="536"/>
    </row>
    <row r="69" spans="1:11">
      <c r="A69" s="20"/>
      <c r="B69" s="64"/>
      <c r="C69" s="536"/>
      <c r="D69" s="536"/>
      <c r="E69" s="536"/>
      <c r="F69" s="536"/>
      <c r="G69" s="536"/>
      <c r="H69" s="536"/>
      <c r="I69" s="536"/>
      <c r="J69" s="536"/>
    </row>
    <row r="70" spans="1:11">
      <c r="A70" s="221" t="s">
        <v>290</v>
      </c>
      <c r="B70" s="222"/>
      <c r="C70" s="538"/>
      <c r="D70" s="538"/>
      <c r="E70" s="538"/>
      <c r="F70" s="538"/>
      <c r="G70" s="538"/>
      <c r="H70" s="538"/>
      <c r="I70" s="538"/>
      <c r="J70" s="538"/>
    </row>
    <row r="71" spans="1:11">
      <c r="A71" s="20"/>
      <c r="B71" s="64"/>
      <c r="C71" s="536"/>
      <c r="D71" s="536"/>
      <c r="E71" s="536"/>
      <c r="F71" s="536"/>
      <c r="G71" s="536"/>
      <c r="H71" s="536"/>
      <c r="I71" s="536"/>
      <c r="J71" s="536"/>
    </row>
    <row r="72" spans="1:11">
      <c r="A72" s="50" t="s">
        <v>192</v>
      </c>
      <c r="B72" s="28" t="s">
        <v>291</v>
      </c>
      <c r="C72" s="541"/>
      <c r="D72" s="1075" t="s">
        <v>292</v>
      </c>
      <c r="E72" s="1076"/>
      <c r="F72" s="435" t="s">
        <v>293</v>
      </c>
      <c r="G72" s="1075" t="s">
        <v>294</v>
      </c>
      <c r="H72" s="1076"/>
      <c r="I72" s="1075" t="s">
        <v>295</v>
      </c>
      <c r="J72" s="1076"/>
    </row>
    <row r="73" spans="1:11">
      <c r="A73" s="29">
        <v>1</v>
      </c>
      <c r="B73" s="1077"/>
      <c r="C73" s="1078"/>
      <c r="D73" s="1079"/>
      <c r="E73" s="1080"/>
      <c r="F73" s="436"/>
      <c r="G73" s="1081"/>
      <c r="H73" s="1082"/>
      <c r="I73" s="1079"/>
      <c r="J73" s="1080"/>
    </row>
    <row r="74" spans="1:11">
      <c r="A74" s="1002" t="s">
        <v>82</v>
      </c>
      <c r="B74" s="1003"/>
      <c r="C74" s="1004"/>
      <c r="D74" s="1068"/>
      <c r="E74" s="1069"/>
      <c r="F74" s="542"/>
      <c r="G74" s="1070">
        <f>SUM(G73)</f>
        <v>0</v>
      </c>
      <c r="H74" s="1071"/>
      <c r="I74" s="1068"/>
      <c r="J74" s="1069"/>
    </row>
    <row r="75" spans="1:11">
      <c r="A75" s="51"/>
      <c r="B75" s="257"/>
      <c r="C75" s="543"/>
      <c r="D75" s="544"/>
      <c r="E75" s="544"/>
      <c r="F75" s="544"/>
      <c r="G75" s="544"/>
      <c r="H75" s="544"/>
      <c r="I75" s="357"/>
      <c r="J75" s="357"/>
    </row>
    <row r="76" spans="1:11">
      <c r="A76" s="221" t="s">
        <v>296</v>
      </c>
      <c r="B76" s="222"/>
      <c r="C76" s="538"/>
      <c r="D76" s="538"/>
      <c r="E76" s="538"/>
      <c r="F76" s="538"/>
      <c r="G76" s="538"/>
      <c r="H76" s="538"/>
      <c r="I76" s="538"/>
      <c r="J76" s="538"/>
    </row>
    <row r="77" spans="1:11">
      <c r="A77" s="20"/>
      <c r="B77" s="226"/>
      <c r="C77" s="545"/>
      <c r="D77" s="357"/>
      <c r="E77" s="357"/>
      <c r="F77" s="357"/>
      <c r="G77" s="357"/>
      <c r="H77" s="357"/>
      <c r="I77" s="357"/>
      <c r="J77" s="357"/>
    </row>
    <row r="78" spans="1:11">
      <c r="A78" s="1083" t="s">
        <v>192</v>
      </c>
      <c r="B78" s="1037" t="s">
        <v>297</v>
      </c>
      <c r="C78" s="1037"/>
      <c r="D78" s="1037"/>
      <c r="E78" s="1084" t="s">
        <v>194</v>
      </c>
      <c r="F78" s="1084"/>
      <c r="G78" s="1084" t="s">
        <v>195</v>
      </c>
      <c r="H78" s="1084"/>
      <c r="I78" s="536"/>
      <c r="J78" s="536"/>
    </row>
    <row r="79" spans="1:11">
      <c r="A79" s="1083"/>
      <c r="B79" s="1037"/>
      <c r="C79" s="1037"/>
      <c r="D79" s="1037"/>
      <c r="E79" s="349" t="s">
        <v>298</v>
      </c>
      <c r="F79" s="349" t="s">
        <v>299</v>
      </c>
      <c r="G79" s="349" t="s">
        <v>298</v>
      </c>
      <c r="H79" s="349" t="s">
        <v>299</v>
      </c>
      <c r="I79" s="536"/>
      <c r="J79" s="536"/>
    </row>
    <row r="80" spans="1:11">
      <c r="A80" s="29">
        <v>1</v>
      </c>
      <c r="B80" s="1077"/>
      <c r="C80" s="1036"/>
      <c r="D80" s="1078"/>
      <c r="E80" s="351"/>
      <c r="F80" s="351"/>
      <c r="G80" s="351"/>
      <c r="H80" s="351"/>
      <c r="I80" s="536"/>
      <c r="J80" s="536"/>
    </row>
    <row r="81" spans="1:10">
      <c r="A81" s="1002" t="s">
        <v>82</v>
      </c>
      <c r="B81" s="1003"/>
      <c r="C81" s="1003"/>
      <c r="D81" s="1004"/>
      <c r="E81" s="352">
        <v>0</v>
      </c>
      <c r="F81" s="352">
        <v>0</v>
      </c>
      <c r="G81" s="352">
        <v>0</v>
      </c>
      <c r="H81" s="352">
        <v>0</v>
      </c>
      <c r="I81" s="536"/>
      <c r="J81" s="536"/>
    </row>
    <row r="82" spans="1:10">
      <c r="A82" s="20"/>
      <c r="B82" s="226"/>
      <c r="C82" s="545"/>
      <c r="D82" s="545"/>
      <c r="E82" s="356"/>
      <c r="F82" s="356"/>
      <c r="G82" s="356"/>
      <c r="H82" s="356"/>
      <c r="I82" s="536"/>
      <c r="J82" s="536"/>
    </row>
    <row r="83" spans="1:10">
      <c r="A83" s="1085" t="s">
        <v>300</v>
      </c>
      <c r="B83" s="1085"/>
      <c r="C83" s="1085"/>
      <c r="D83" s="1085"/>
      <c r="E83" s="1085"/>
      <c r="F83" s="1085"/>
      <c r="G83" s="1085"/>
      <c r="H83" s="1085"/>
      <c r="I83" s="1085"/>
      <c r="J83" s="1085"/>
    </row>
    <row r="84" spans="1:10">
      <c r="A84" s="52"/>
      <c r="B84" s="52"/>
      <c r="C84" s="546"/>
      <c r="D84" s="546"/>
      <c r="E84" s="546"/>
      <c r="F84" s="546"/>
      <c r="G84" s="546"/>
      <c r="H84" s="546"/>
      <c r="I84" s="546"/>
      <c r="J84" s="546"/>
    </row>
    <row r="85" spans="1:10">
      <c r="A85" s="52"/>
      <c r="B85" s="52"/>
      <c r="C85" s="546"/>
      <c r="D85" s="546"/>
      <c r="E85" s="546"/>
      <c r="F85" s="546"/>
      <c r="G85" s="546"/>
      <c r="H85" s="546"/>
      <c r="I85" s="546"/>
      <c r="J85" s="546"/>
    </row>
    <row r="86" spans="1:10">
      <c r="A86" s="20"/>
      <c r="B86" s="226"/>
      <c r="C86" s="545"/>
      <c r="D86" s="357"/>
      <c r="E86" s="357"/>
      <c r="F86" s="357"/>
      <c r="G86" s="357"/>
      <c r="H86" s="357"/>
      <c r="I86" s="357"/>
      <c r="J86" s="357"/>
    </row>
    <row r="87" spans="1:10">
      <c r="A87" s="221" t="s">
        <v>301</v>
      </c>
      <c r="B87" s="222"/>
      <c r="C87" s="538"/>
      <c r="D87" s="538"/>
      <c r="E87" s="538"/>
      <c r="F87" s="538"/>
      <c r="G87" s="538"/>
      <c r="H87" s="538"/>
      <c r="I87" s="538"/>
      <c r="J87" s="538"/>
    </row>
    <row r="88" spans="1:10">
      <c r="A88" s="20"/>
      <c r="B88" s="226"/>
      <c r="C88" s="545"/>
      <c r="D88" s="357"/>
      <c r="E88" s="357"/>
      <c r="F88" s="357"/>
      <c r="G88" s="357"/>
      <c r="H88" s="357"/>
      <c r="I88" s="357"/>
      <c r="J88" s="357"/>
    </row>
    <row r="89" spans="1:10">
      <c r="A89" s="1025" t="s">
        <v>192</v>
      </c>
      <c r="B89" s="1037" t="s">
        <v>302</v>
      </c>
      <c r="C89" s="1037"/>
      <c r="D89" s="1037"/>
      <c r="E89" s="1084" t="s">
        <v>194</v>
      </c>
      <c r="F89" s="1084"/>
      <c r="G89" s="1084" t="s">
        <v>195</v>
      </c>
      <c r="H89" s="1084"/>
      <c r="I89" s="536"/>
      <c r="J89" s="536"/>
    </row>
    <row r="90" spans="1:10" ht="39.6">
      <c r="A90" s="1025"/>
      <c r="B90" s="1037"/>
      <c r="C90" s="1037"/>
      <c r="D90" s="1037"/>
      <c r="E90" s="435" t="s">
        <v>303</v>
      </c>
      <c r="F90" s="435" t="s">
        <v>304</v>
      </c>
      <c r="G90" s="435" t="s">
        <v>303</v>
      </c>
      <c r="H90" s="435" t="s">
        <v>304</v>
      </c>
      <c r="I90" s="536"/>
      <c r="J90" s="536"/>
    </row>
    <row r="91" spans="1:10">
      <c r="A91" s="29">
        <v>1</v>
      </c>
      <c r="B91" s="1077" t="s">
        <v>19</v>
      </c>
      <c r="C91" s="1036"/>
      <c r="D91" s="1078"/>
      <c r="E91" s="351"/>
      <c r="F91" s="351"/>
      <c r="G91" s="351"/>
      <c r="H91" s="351"/>
      <c r="I91" s="536"/>
      <c r="J91" s="536"/>
    </row>
    <row r="92" spans="1:10">
      <c r="A92" s="1002" t="s">
        <v>82</v>
      </c>
      <c r="B92" s="1003"/>
      <c r="C92" s="1003"/>
      <c r="D92" s="1004"/>
      <c r="E92" s="352"/>
      <c r="F92" s="352">
        <f>SUM(F91:F91)</f>
        <v>0</v>
      </c>
      <c r="G92" s="352"/>
      <c r="H92" s="352">
        <f>SUM(H91:H91)</f>
        <v>0</v>
      </c>
      <c r="I92" s="536"/>
      <c r="J92" s="536"/>
    </row>
    <row r="93" spans="1:10">
      <c r="A93" s="20"/>
      <c r="B93" s="226"/>
      <c r="C93" s="545"/>
      <c r="D93" s="545"/>
      <c r="E93" s="356"/>
      <c r="F93" s="356"/>
      <c r="G93" s="356"/>
      <c r="H93" s="356"/>
      <c r="I93" s="536"/>
      <c r="J93" s="536"/>
    </row>
    <row r="94" spans="1:10">
      <c r="A94" s="1023" t="s">
        <v>305</v>
      </c>
      <c r="B94" s="1023"/>
      <c r="C94" s="1023"/>
      <c r="D94" s="1023"/>
      <c r="E94" s="1023"/>
      <c r="F94" s="1023"/>
      <c r="G94" s="1023"/>
      <c r="H94" s="1023"/>
      <c r="I94" s="1023"/>
      <c r="J94" s="1023"/>
    </row>
    <row r="95" spans="1:10">
      <c r="A95" s="224"/>
      <c r="B95" s="224"/>
      <c r="C95" s="547"/>
      <c r="D95" s="547"/>
      <c r="E95" s="547"/>
      <c r="F95" s="547"/>
      <c r="G95" s="547"/>
      <c r="H95" s="547"/>
      <c r="I95" s="547"/>
      <c r="J95" s="547"/>
    </row>
    <row r="96" spans="1:10" hidden="1">
      <c r="A96" s="224"/>
      <c r="B96" s="224"/>
      <c r="C96" s="547"/>
      <c r="D96" s="547"/>
      <c r="E96" s="547"/>
      <c r="F96" s="547"/>
      <c r="G96" s="547"/>
      <c r="H96" s="547"/>
      <c r="I96" s="547"/>
      <c r="J96" s="547"/>
    </row>
    <row r="97" spans="1:10" hidden="1">
      <c r="A97" s="224"/>
      <c r="B97" s="224"/>
      <c r="C97" s="547"/>
      <c r="D97" s="547"/>
      <c r="E97" s="547"/>
      <c r="F97" s="547"/>
      <c r="G97" s="547"/>
      <c r="H97" s="547"/>
      <c r="I97" s="547"/>
      <c r="J97" s="547"/>
    </row>
    <row r="98" spans="1:10" hidden="1">
      <c r="A98" s="224"/>
      <c r="B98" s="224"/>
      <c r="C98" s="547"/>
      <c r="D98" s="547"/>
      <c r="E98" s="547"/>
      <c r="F98" s="547"/>
      <c r="G98" s="547"/>
      <c r="H98" s="547"/>
      <c r="I98" s="547"/>
      <c r="J98" s="547"/>
    </row>
    <row r="99" spans="1:10" hidden="1">
      <c r="A99" s="224"/>
      <c r="B99" s="224"/>
      <c r="C99" s="547"/>
      <c r="D99" s="547"/>
      <c r="E99" s="547"/>
      <c r="F99" s="547"/>
      <c r="G99" s="547"/>
      <c r="H99" s="547"/>
      <c r="I99" s="547"/>
      <c r="J99" s="547"/>
    </row>
    <row r="100" spans="1:10" hidden="1">
      <c r="A100" s="224"/>
      <c r="B100" s="224"/>
      <c r="C100" s="547"/>
      <c r="D100" s="547"/>
      <c r="E100" s="547"/>
      <c r="F100" s="547"/>
      <c r="G100" s="547"/>
      <c r="H100" s="547"/>
      <c r="I100" s="547"/>
      <c r="J100" s="547"/>
    </row>
    <row r="101" spans="1:10">
      <c r="A101" s="20"/>
      <c r="B101" s="226"/>
      <c r="C101" s="545"/>
      <c r="D101" s="357"/>
      <c r="E101" s="357"/>
      <c r="F101" s="357"/>
      <c r="G101" s="357"/>
      <c r="H101" s="357"/>
      <c r="I101" s="357"/>
      <c r="J101" s="357"/>
    </row>
    <row r="102" spans="1:10">
      <c r="A102" s="221" t="s">
        <v>306</v>
      </c>
      <c r="B102" s="222"/>
      <c r="C102" s="538"/>
      <c r="D102" s="538"/>
      <c r="E102" s="538"/>
      <c r="F102" s="538"/>
      <c r="G102" s="538"/>
      <c r="H102" s="538"/>
      <c r="I102" s="538"/>
      <c r="J102" s="538"/>
    </row>
    <row r="103" spans="1:10">
      <c r="A103" s="42"/>
      <c r="B103" s="42"/>
      <c r="C103" s="548"/>
      <c r="D103" s="548"/>
      <c r="E103" s="548"/>
      <c r="F103" s="548"/>
      <c r="G103" s="548"/>
      <c r="H103" s="548"/>
      <c r="I103" s="548"/>
      <c r="J103" s="548"/>
    </row>
    <row r="104" spans="1:10">
      <c r="A104" s="1023" t="s">
        <v>307</v>
      </c>
      <c r="B104" s="1023"/>
      <c r="C104" s="1023"/>
      <c r="D104" s="1023"/>
      <c r="E104" s="1023"/>
      <c r="F104" s="1023"/>
      <c r="G104" s="1023"/>
      <c r="H104" s="1023"/>
      <c r="I104" s="1023"/>
      <c r="J104" s="1023"/>
    </row>
    <row r="105" spans="1:10">
      <c r="A105" s="1023"/>
      <c r="B105" s="1023"/>
      <c r="C105" s="1023"/>
      <c r="D105" s="1023"/>
      <c r="E105" s="1023"/>
      <c r="F105" s="1023"/>
      <c r="G105" s="1023"/>
      <c r="H105" s="1023"/>
      <c r="I105" s="1023"/>
      <c r="J105" s="1023"/>
    </row>
    <row r="106" spans="1:10">
      <c r="A106" s="1023"/>
      <c r="B106" s="1023"/>
      <c r="C106" s="1023"/>
      <c r="D106" s="1023"/>
      <c r="E106" s="1023"/>
      <c r="F106" s="1023"/>
      <c r="G106" s="1023"/>
      <c r="H106" s="1023"/>
      <c r="I106" s="1023"/>
      <c r="J106" s="1023"/>
    </row>
    <row r="107" spans="1:10">
      <c r="A107" s="1023"/>
      <c r="B107" s="1023"/>
      <c r="C107" s="1023"/>
      <c r="D107" s="1023"/>
      <c r="E107" s="1023"/>
      <c r="F107" s="1023"/>
      <c r="G107" s="1023"/>
      <c r="H107" s="1023"/>
      <c r="I107" s="1023"/>
      <c r="J107" s="1023"/>
    </row>
    <row r="108" spans="1:10" hidden="1">
      <c r="A108" s="224"/>
      <c r="B108" s="224"/>
      <c r="C108" s="547"/>
      <c r="D108" s="547"/>
      <c r="E108" s="547"/>
      <c r="F108" s="547"/>
      <c r="G108" s="547"/>
      <c r="H108" s="547"/>
      <c r="I108" s="547"/>
      <c r="J108" s="547"/>
    </row>
    <row r="109" spans="1:10" hidden="1">
      <c r="A109" s="224"/>
      <c r="B109" s="224"/>
      <c r="C109" s="547"/>
      <c r="D109" s="547"/>
      <c r="E109" s="547"/>
      <c r="F109" s="547"/>
      <c r="G109" s="547"/>
      <c r="H109" s="547"/>
      <c r="I109" s="547"/>
      <c r="J109" s="547"/>
    </row>
    <row r="110" spans="1:10" hidden="1">
      <c r="A110" s="224"/>
      <c r="B110" s="224"/>
      <c r="C110" s="547"/>
      <c r="D110" s="547"/>
      <c r="E110" s="547"/>
      <c r="F110" s="547"/>
      <c r="G110" s="547"/>
      <c r="H110" s="547"/>
      <c r="I110" s="547"/>
      <c r="J110" s="547"/>
    </row>
    <row r="111" spans="1:10">
      <c r="A111" s="20"/>
      <c r="B111" s="20"/>
      <c r="C111" s="357"/>
      <c r="D111" s="357"/>
      <c r="E111" s="357"/>
      <c r="F111" s="357"/>
      <c r="G111" s="357"/>
      <c r="H111" s="357"/>
      <c r="I111" s="357"/>
      <c r="J111" s="357"/>
    </row>
    <row r="112" spans="1:10">
      <c r="A112" s="221" t="s">
        <v>308</v>
      </c>
      <c r="B112" s="222"/>
      <c r="C112" s="538"/>
      <c r="D112" s="538"/>
      <c r="E112" s="538"/>
      <c r="F112" s="538"/>
      <c r="G112" s="538"/>
      <c r="H112" s="538"/>
      <c r="I112" s="538"/>
      <c r="J112" s="538"/>
    </row>
    <row r="113" spans="1:12">
      <c r="A113" s="42"/>
      <c r="B113" s="42"/>
      <c r="C113" s="548"/>
      <c r="D113" s="548"/>
      <c r="E113" s="548"/>
      <c r="F113" s="548"/>
      <c r="G113" s="548"/>
      <c r="H113" s="548"/>
      <c r="I113" s="548"/>
      <c r="J113" s="548"/>
    </row>
    <row r="114" spans="1:12">
      <c r="A114" s="35" t="s">
        <v>192</v>
      </c>
      <c r="B114" s="985" t="s">
        <v>193</v>
      </c>
      <c r="C114" s="986"/>
      <c r="D114" s="987"/>
      <c r="E114" s="1068" t="s">
        <v>194</v>
      </c>
      <c r="F114" s="1069"/>
      <c r="G114" s="1068" t="s">
        <v>195</v>
      </c>
      <c r="H114" s="1069"/>
      <c r="I114" s="536"/>
      <c r="J114" s="536"/>
    </row>
    <row r="115" spans="1:12">
      <c r="A115" s="29">
        <v>1</v>
      </c>
      <c r="B115" s="248"/>
      <c r="C115" s="549"/>
      <c r="D115" s="550"/>
      <c r="E115" s="551"/>
      <c r="F115" s="552"/>
      <c r="G115" s="551"/>
      <c r="H115" s="552"/>
      <c r="I115" s="536"/>
      <c r="J115" s="536"/>
    </row>
    <row r="116" spans="1:12">
      <c r="A116" s="29">
        <v>2</v>
      </c>
      <c r="B116" s="248"/>
      <c r="C116" s="549"/>
      <c r="D116" s="549"/>
      <c r="E116" s="551"/>
      <c r="F116" s="552"/>
      <c r="G116" s="551"/>
      <c r="H116" s="552"/>
      <c r="I116" s="536"/>
      <c r="J116" s="536"/>
    </row>
    <row r="117" spans="1:12">
      <c r="A117" s="1002" t="s">
        <v>309</v>
      </c>
      <c r="B117" s="1003"/>
      <c r="C117" s="1003"/>
      <c r="D117" s="1004"/>
      <c r="E117" s="1086">
        <v>0</v>
      </c>
      <c r="F117" s="1087"/>
      <c r="G117" s="1086">
        <v>0</v>
      </c>
      <c r="H117" s="1087"/>
      <c r="I117" s="536"/>
      <c r="J117" s="536"/>
    </row>
    <row r="118" spans="1:12">
      <c r="A118" s="20"/>
      <c r="B118" s="20"/>
      <c r="C118" s="357"/>
      <c r="D118" s="357"/>
      <c r="E118" s="357"/>
      <c r="F118" s="357"/>
      <c r="G118" s="357"/>
      <c r="H118" s="357"/>
      <c r="I118" s="357"/>
      <c r="J118" s="357"/>
    </row>
    <row r="122" spans="1:12" ht="13.8" thickBot="1"/>
    <row r="123" spans="1:12" s="402" customFormat="1" ht="24">
      <c r="C123" s="554"/>
      <c r="D123" s="555" t="s">
        <v>1049</v>
      </c>
      <c r="E123" s="555" t="s">
        <v>1050</v>
      </c>
      <c r="F123" s="555" t="s">
        <v>1051</v>
      </c>
      <c r="G123" s="555" t="s">
        <v>1052</v>
      </c>
      <c r="H123" s="555" t="s">
        <v>1053</v>
      </c>
      <c r="I123" s="556" t="s">
        <v>1054</v>
      </c>
      <c r="J123" s="555" t="s">
        <v>1052</v>
      </c>
      <c r="K123" s="555" t="s">
        <v>1068</v>
      </c>
    </row>
    <row r="124" spans="1:12" s="403" customFormat="1" ht="15" customHeight="1">
      <c r="C124" s="557" t="s">
        <v>1055</v>
      </c>
      <c r="D124" s="558" t="s">
        <v>1056</v>
      </c>
      <c r="E124" s="559"/>
      <c r="F124" s="558" t="s">
        <v>1056</v>
      </c>
      <c r="G124" s="559"/>
      <c r="H124" s="559"/>
      <c r="I124" s="560" t="s">
        <v>1056</v>
      </c>
      <c r="J124" s="561"/>
      <c r="K124" s="559"/>
    </row>
    <row r="125" spans="1:12" s="403" customFormat="1" ht="15" customHeight="1">
      <c r="C125" s="557" t="s">
        <v>1057</v>
      </c>
      <c r="D125" s="558" t="s">
        <v>1058</v>
      </c>
      <c r="E125" s="558" t="s">
        <v>1059</v>
      </c>
      <c r="F125" s="562" t="s">
        <v>1060</v>
      </c>
      <c r="G125" s="558" t="s">
        <v>1061</v>
      </c>
      <c r="H125" s="558" t="s">
        <v>1062</v>
      </c>
      <c r="I125" s="563" t="s">
        <v>1063</v>
      </c>
      <c r="J125" s="564">
        <v>3277500</v>
      </c>
      <c r="K125" s="558">
        <f>+'todruulga-Undsen hurungu'!D57</f>
        <v>55451268.460000001</v>
      </c>
      <c r="L125" s="403" t="e">
        <f>+I125+J125-K125</f>
        <v>#VALUE!</v>
      </c>
    </row>
    <row r="126" spans="1:12" s="403" customFormat="1" ht="12.6" thickBot="1">
      <c r="C126" s="565" t="s">
        <v>1064</v>
      </c>
      <c r="D126" s="566" t="s">
        <v>1065</v>
      </c>
      <c r="E126" s="566" t="s">
        <v>1059</v>
      </c>
      <c r="F126" s="566" t="s">
        <v>1066</v>
      </c>
      <c r="G126" s="566" t="s">
        <v>1061</v>
      </c>
      <c r="H126" s="566" t="s">
        <v>1062</v>
      </c>
      <c r="I126" s="567" t="s">
        <v>1067</v>
      </c>
      <c r="J126" s="561">
        <f>SUM(J124:J125)</f>
        <v>3277500</v>
      </c>
      <c r="K126" s="561">
        <f>SUM(K124:K125)</f>
        <v>55451268.460000001</v>
      </c>
    </row>
    <row r="127" spans="1:12" s="402" customFormat="1" ht="12">
      <c r="C127" s="568"/>
      <c r="D127" s="569"/>
      <c r="E127" s="569"/>
      <c r="F127" s="569"/>
      <c r="G127" s="569"/>
      <c r="H127" s="569"/>
      <c r="I127" s="569"/>
      <c r="J127" s="561"/>
      <c r="K127" s="561"/>
      <c r="L127" s="403"/>
    </row>
    <row r="128" spans="1:12" s="402" customFormat="1" ht="24">
      <c r="C128" s="570"/>
      <c r="D128" s="571" t="s">
        <v>1049</v>
      </c>
      <c r="E128" s="571" t="s">
        <v>1050</v>
      </c>
      <c r="F128" s="571" t="s">
        <v>1051</v>
      </c>
      <c r="G128" s="571" t="s">
        <v>1052</v>
      </c>
      <c r="H128" s="571" t="s">
        <v>1053</v>
      </c>
      <c r="I128" s="571" t="s">
        <v>1054</v>
      </c>
      <c r="J128" s="571" t="s">
        <v>1052</v>
      </c>
      <c r="K128" s="571" t="s">
        <v>1068</v>
      </c>
      <c r="L128" s="404"/>
    </row>
    <row r="129" spans="3:13">
      <c r="C129" s="572" t="s">
        <v>1057</v>
      </c>
      <c r="D129" s="573">
        <v>87796520</v>
      </c>
      <c r="E129" s="573">
        <v>52723535</v>
      </c>
      <c r="F129" s="573">
        <v>35072985</v>
      </c>
      <c r="G129" s="573">
        <v>3519000</v>
      </c>
      <c r="H129" s="573">
        <v>20548282.690000001</v>
      </c>
      <c r="I129" s="573">
        <v>18043702.309999999</v>
      </c>
      <c r="J129" s="573">
        <f>+J125</f>
        <v>3277500</v>
      </c>
      <c r="K129" s="573">
        <f>+K125</f>
        <v>55451268.460000001</v>
      </c>
      <c r="L129" s="405">
        <f>+I129+J129-K129</f>
        <v>-34130066.150000006</v>
      </c>
      <c r="M129" s="402"/>
    </row>
    <row r="130" spans="3:13">
      <c r="C130" s="574"/>
      <c r="D130" s="575"/>
      <c r="E130" s="575"/>
      <c r="F130" s="575"/>
      <c r="G130" s="575"/>
      <c r="H130" s="575"/>
      <c r="I130" s="575"/>
      <c r="J130" s="575"/>
      <c r="K130" s="575"/>
      <c r="L130" s="406"/>
      <c r="M130" s="402"/>
    </row>
    <row r="131" spans="3:13">
      <c r="C131" s="561"/>
      <c r="D131" s="561"/>
      <c r="E131" s="561"/>
      <c r="F131" s="561"/>
      <c r="G131" s="561"/>
      <c r="H131" s="561"/>
      <c r="I131" s="561"/>
      <c r="J131" s="561"/>
      <c r="K131" s="561"/>
      <c r="L131" s="403"/>
      <c r="M131" s="402"/>
    </row>
    <row r="132" spans="3:13">
      <c r="C132" s="561"/>
      <c r="D132" s="561"/>
      <c r="E132" s="561"/>
      <c r="F132" s="561"/>
      <c r="G132" s="576" t="s">
        <v>1049</v>
      </c>
      <c r="H132" s="577">
        <f>+D129+G129</f>
        <v>91315520</v>
      </c>
      <c r="I132" s="561"/>
      <c r="J132" s="561"/>
      <c r="K132" s="561"/>
      <c r="L132" s="403"/>
      <c r="M132" s="402"/>
    </row>
    <row r="133" spans="3:13">
      <c r="C133" s="561"/>
      <c r="D133" s="561"/>
      <c r="E133" s="561"/>
      <c r="F133" s="561"/>
      <c r="G133" s="578" t="s">
        <v>1070</v>
      </c>
      <c r="H133" s="579">
        <f>+J129</f>
        <v>3277500</v>
      </c>
      <c r="I133" s="561"/>
      <c r="J133" s="561"/>
      <c r="K133" s="561"/>
      <c r="L133" s="403"/>
      <c r="M133" s="402"/>
    </row>
    <row r="134" spans="3:13">
      <c r="C134" s="561"/>
      <c r="D134" s="561"/>
      <c r="E134" s="561"/>
      <c r="F134" s="561"/>
      <c r="G134" s="578" t="s">
        <v>1069</v>
      </c>
      <c r="H134" s="579">
        <f>+H129+E129</f>
        <v>73271817.689999998</v>
      </c>
      <c r="I134" s="561"/>
      <c r="J134" s="561"/>
      <c r="K134" s="561"/>
      <c r="L134" s="403"/>
      <c r="M134" s="402"/>
    </row>
    <row r="135" spans="3:13">
      <c r="C135" s="561"/>
      <c r="D135" s="561"/>
      <c r="E135" s="561"/>
      <c r="F135" s="561"/>
      <c r="G135" s="578" t="s">
        <v>1071</v>
      </c>
      <c r="H135" s="579">
        <f>+K129+0.2</f>
        <v>55451268.660000004</v>
      </c>
      <c r="I135" s="561"/>
      <c r="J135" s="561"/>
      <c r="K135" s="561"/>
      <c r="L135" s="403"/>
      <c r="M135" s="402"/>
    </row>
    <row r="136" spans="3:13">
      <c r="C136" s="561"/>
      <c r="D136" s="561"/>
      <c r="E136" s="561"/>
      <c r="F136" s="561"/>
      <c r="G136" s="578" t="s">
        <v>1072</v>
      </c>
      <c r="H136" s="579">
        <f>+H132+H133-H134-H135</f>
        <v>-34130066.350000001</v>
      </c>
      <c r="I136" s="561"/>
      <c r="J136" s="561"/>
      <c r="K136" s="561"/>
      <c r="L136" s="403"/>
      <c r="M136" s="402"/>
    </row>
    <row r="137" spans="3:13">
      <c r="C137" s="561"/>
      <c r="D137" s="561"/>
      <c r="E137" s="561"/>
      <c r="F137" s="561"/>
      <c r="G137" s="580"/>
      <c r="H137" s="581">
        <f>+H136-'todruulga-Undsen hurungu'!D67</f>
        <v>-113121888.81000364</v>
      </c>
      <c r="I137" s="561"/>
      <c r="J137" s="561"/>
      <c r="K137" s="561"/>
      <c r="L137" s="403"/>
      <c r="M137" s="402"/>
    </row>
    <row r="138" spans="3:13">
      <c r="C138" s="561"/>
      <c r="D138" s="561"/>
      <c r="E138" s="561"/>
      <c r="F138" s="561"/>
      <c r="G138" s="561"/>
      <c r="H138" s="561"/>
      <c r="I138" s="561"/>
      <c r="J138" s="561"/>
      <c r="K138" s="561"/>
      <c r="L138" s="403"/>
      <c r="M138" s="402"/>
    </row>
    <row r="139" spans="3:13">
      <c r="E139" s="553">
        <v>1</v>
      </c>
      <c r="F139" s="553">
        <v>1751101.34</v>
      </c>
    </row>
    <row r="140" spans="3:13">
      <c r="E140" s="553">
        <f>+E139+1</f>
        <v>2</v>
      </c>
      <c r="F140" s="553">
        <v>1581640.76</v>
      </c>
    </row>
    <row r="141" spans="3:13">
      <c r="E141" s="553">
        <f t="shared" ref="E141:E150" si="19">+E140+1</f>
        <v>3</v>
      </c>
      <c r="F141" s="553">
        <v>1751102.58</v>
      </c>
    </row>
    <row r="142" spans="3:13">
      <c r="E142" s="553">
        <f t="shared" si="19"/>
        <v>4</v>
      </c>
      <c r="F142" s="553">
        <v>1694615.1</v>
      </c>
    </row>
    <row r="143" spans="3:13">
      <c r="E143" s="553">
        <f t="shared" si="19"/>
        <v>5</v>
      </c>
      <c r="F143" s="553">
        <v>1751101.34</v>
      </c>
    </row>
    <row r="144" spans="3:13">
      <c r="E144" s="553">
        <f t="shared" si="19"/>
        <v>6</v>
      </c>
      <c r="F144" s="553">
        <v>1694614.2</v>
      </c>
    </row>
    <row r="145" spans="4:9">
      <c r="E145" s="553">
        <f t="shared" si="19"/>
        <v>7</v>
      </c>
      <c r="F145" s="553">
        <v>1751101.34</v>
      </c>
    </row>
    <row r="146" spans="4:9">
      <c r="E146" s="553">
        <f>+E145+1</f>
        <v>8</v>
      </c>
      <c r="F146" s="553">
        <v>857423.97</v>
      </c>
    </row>
    <row r="147" spans="4:9">
      <c r="E147" s="553">
        <f t="shared" si="19"/>
        <v>9</v>
      </c>
      <c r="F147" s="553">
        <v>829764.3</v>
      </c>
    </row>
    <row r="148" spans="4:9">
      <c r="E148" s="553">
        <f>+E147+1</f>
        <v>10</v>
      </c>
      <c r="F148" s="553">
        <v>857422.29</v>
      </c>
    </row>
    <row r="149" spans="4:9">
      <c r="E149" s="553">
        <f t="shared" si="19"/>
        <v>11</v>
      </c>
      <c r="F149" s="553">
        <v>765380.7</v>
      </c>
      <c r="G149" s="553">
        <v>2346000</v>
      </c>
    </row>
    <row r="150" spans="4:9">
      <c r="E150" s="553">
        <f t="shared" si="19"/>
        <v>12</v>
      </c>
      <c r="F150" s="553">
        <v>1254689.97</v>
      </c>
      <c r="G150" s="553">
        <v>931500</v>
      </c>
    </row>
    <row r="151" spans="4:9">
      <c r="F151" s="553">
        <f>SUM(F139:F150)</f>
        <v>16539957.889999999</v>
      </c>
      <c r="G151" s="553">
        <f>SUM(G139:G150)</f>
        <v>3277500</v>
      </c>
    </row>
    <row r="155" spans="4:9">
      <c r="D155" s="553">
        <v>19826673.100000001</v>
      </c>
      <c r="E155" s="553">
        <v>36276791.200000003</v>
      </c>
      <c r="F155" s="553">
        <v>1482353</v>
      </c>
      <c r="G155" s="553">
        <v>1426207.4</v>
      </c>
      <c r="H155" s="553">
        <v>1517574.4</v>
      </c>
      <c r="I155" s="553">
        <v>730807.1</v>
      </c>
    </row>
    <row r="156" spans="4:9">
      <c r="D156" s="553">
        <f t="shared" ref="D156:H156" si="20">+D155-D7</f>
        <v>-1231421.0561699979</v>
      </c>
      <c r="E156" s="553">
        <f t="shared" si="20"/>
        <v>-3720801.7672899961</v>
      </c>
      <c r="F156" s="553">
        <f t="shared" si="20"/>
        <v>-77084.969580000034</v>
      </c>
      <c r="G156" s="553">
        <f t="shared" si="20"/>
        <v>-1044544.6736399997</v>
      </c>
      <c r="H156" s="553">
        <f t="shared" si="20"/>
        <v>-119313.14572000015</v>
      </c>
      <c r="I156" s="553">
        <f>+I155-I7</f>
        <v>730807.1</v>
      </c>
    </row>
    <row r="160" spans="4:9">
      <c r="D160" s="553">
        <f>+D21</f>
        <v>1139541.61699</v>
      </c>
      <c r="E160" s="553">
        <f t="shared" ref="E160:I160" si="21">+E21</f>
        <v>23104803.507540002</v>
      </c>
      <c r="F160" s="553">
        <f t="shared" si="21"/>
        <v>522225.07232000004</v>
      </c>
      <c r="G160" s="553">
        <f t="shared" si="21"/>
        <v>922332.08277999982</v>
      </c>
      <c r="H160" s="553">
        <f t="shared" si="21"/>
        <v>1341105.9956100001</v>
      </c>
      <c r="I160" s="553">
        <f t="shared" si="21"/>
        <v>0</v>
      </c>
    </row>
    <row r="161" spans="4:9">
      <c r="D161" s="553">
        <v>202363.2</v>
      </c>
      <c r="E161" s="553">
        <v>20610645</v>
      </c>
      <c r="F161" s="553">
        <v>552838.19999999995</v>
      </c>
      <c r="G161" s="553">
        <v>462986.4</v>
      </c>
      <c r="H161" s="553">
        <v>1102088.7</v>
      </c>
      <c r="I161" s="553">
        <v>344714.9</v>
      </c>
    </row>
    <row r="163" spans="4:9">
      <c r="D163" s="553">
        <f>+D161-D21</f>
        <v>-937178.41699000006</v>
      </c>
      <c r="E163" s="553">
        <f t="shared" ref="E163:I163" si="22">+E161-E21</f>
        <v>-2494158.5075400025</v>
      </c>
      <c r="F163" s="553">
        <f t="shared" si="22"/>
        <v>30613.127679999918</v>
      </c>
      <c r="G163" s="553">
        <f t="shared" si="22"/>
        <v>-459345.6827799998</v>
      </c>
      <c r="H163" s="553">
        <f t="shared" si="22"/>
        <v>-239017.29561000015</v>
      </c>
      <c r="I163" s="553">
        <f t="shared" si="22"/>
        <v>344714.9</v>
      </c>
    </row>
  </sheetData>
  <mergeCells count="36">
    <mergeCell ref="A117:D117"/>
    <mergeCell ref="E117:F117"/>
    <mergeCell ref="G117:H117"/>
    <mergeCell ref="A92:D92"/>
    <mergeCell ref="A94:J94"/>
    <mergeCell ref="A104:J107"/>
    <mergeCell ref="B114:D114"/>
    <mergeCell ref="E114:F114"/>
    <mergeCell ref="G114:H114"/>
    <mergeCell ref="B91:D91"/>
    <mergeCell ref="A78:A79"/>
    <mergeCell ref="B78:D79"/>
    <mergeCell ref="E78:F78"/>
    <mergeCell ref="G78:H78"/>
    <mergeCell ref="B80:D80"/>
    <mergeCell ref="A81:D81"/>
    <mergeCell ref="A83:J83"/>
    <mergeCell ref="A89:A90"/>
    <mergeCell ref="B89:D90"/>
    <mergeCell ref="E89:F89"/>
    <mergeCell ref="G89:H89"/>
    <mergeCell ref="A74:C74"/>
    <mergeCell ref="D74:E74"/>
    <mergeCell ref="G74:H74"/>
    <mergeCell ref="I74:J74"/>
    <mergeCell ref="A9:A12"/>
    <mergeCell ref="A14:A16"/>
    <mergeCell ref="A23:A25"/>
    <mergeCell ref="D72:E72"/>
    <mergeCell ref="G72:H72"/>
    <mergeCell ref="I72:J72"/>
    <mergeCell ref="B73:C73"/>
    <mergeCell ref="D73:E73"/>
    <mergeCell ref="G73:H73"/>
    <mergeCell ref="I73:J73"/>
    <mergeCell ref="A27:A30"/>
  </mergeCells>
  <pageMargins left="0.7" right="0.7" top="0.34" bottom="0.23" header="0.3" footer="0.16"/>
  <pageSetup paperSize="9" scale="74" fitToHeight="0"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100"/>
  <sheetViews>
    <sheetView workbookViewId="0">
      <selection activeCell="G43" activeCellId="1" sqref="B5:C5 G43"/>
    </sheetView>
  </sheetViews>
  <sheetFormatPr defaultRowHeight="13.2"/>
  <cols>
    <col min="2" max="2" width="24.6640625" customWidth="1"/>
    <col min="3" max="3" width="12.6640625" customWidth="1"/>
    <col min="4" max="4" width="17.44140625" customWidth="1"/>
    <col min="5" max="5" width="14.5546875" bestFit="1" customWidth="1"/>
    <col min="6" max="6" width="17.44140625" customWidth="1"/>
    <col min="7" max="7" width="20.44140625" bestFit="1" customWidth="1"/>
    <col min="9" max="9" width="20.44140625" style="71" customWidth="1"/>
    <col min="10" max="10" width="17.33203125" bestFit="1" customWidth="1"/>
  </cols>
  <sheetData>
    <row r="1" spans="1:10">
      <c r="A1" s="21" t="s">
        <v>310</v>
      </c>
      <c r="B1" s="22"/>
      <c r="C1" s="22"/>
      <c r="D1" s="22"/>
      <c r="E1" s="22"/>
      <c r="F1" s="22"/>
      <c r="G1" s="22"/>
    </row>
    <row r="2" spans="1:10" ht="13.8">
      <c r="A2" s="43"/>
      <c r="B2" s="53" t="s">
        <v>311</v>
      </c>
      <c r="C2" s="43"/>
      <c r="D2" s="43"/>
      <c r="E2" s="43"/>
      <c r="F2" s="43"/>
      <c r="G2" s="43"/>
    </row>
    <row r="3" spans="1:10">
      <c r="A3" s="43"/>
      <c r="B3" s="43"/>
      <c r="C3" s="43"/>
      <c r="D3" s="43"/>
      <c r="E3" s="43"/>
      <c r="F3" s="43"/>
      <c r="G3" s="43"/>
    </row>
    <row r="4" spans="1:10">
      <c r="A4" s="35" t="s">
        <v>192</v>
      </c>
      <c r="B4" s="1037" t="s">
        <v>312</v>
      </c>
      <c r="C4" s="1037"/>
      <c r="D4" s="1088" t="s">
        <v>194</v>
      </c>
      <c r="E4" s="1088"/>
      <c r="F4" s="1088" t="s">
        <v>195</v>
      </c>
      <c r="G4" s="1088"/>
    </row>
    <row r="5" spans="1:10">
      <c r="A5" s="29">
        <v>1</v>
      </c>
      <c r="B5" s="1089" t="s">
        <v>313</v>
      </c>
      <c r="C5" s="1089"/>
      <c r="D5" s="1090">
        <v>312229761.80000001</v>
      </c>
      <c r="E5" s="1090"/>
      <c r="F5" s="1090">
        <v>312229761.80000001</v>
      </c>
      <c r="G5" s="1090"/>
    </row>
    <row r="6" spans="1:10">
      <c r="A6" s="29">
        <v>2</v>
      </c>
      <c r="B6" s="1089" t="s">
        <v>314</v>
      </c>
      <c r="C6" s="1089"/>
      <c r="D6" s="1090"/>
      <c r="E6" s="1090"/>
      <c r="F6" s="1090"/>
      <c r="G6" s="1090"/>
      <c r="I6" s="71">
        <f>+balance!D35+balance!D40+balance!D41+balance!D42</f>
        <v>18148635930.520512</v>
      </c>
      <c r="J6" s="283">
        <f>+I6-F7</f>
        <v>17836406168.720512</v>
      </c>
    </row>
    <row r="7" spans="1:10">
      <c r="A7" s="1088" t="s">
        <v>309</v>
      </c>
      <c r="B7" s="1088"/>
      <c r="C7" s="1088"/>
      <c r="D7" s="1091">
        <f>SUM(D5:E6)</f>
        <v>312229761.80000001</v>
      </c>
      <c r="E7" s="1091"/>
      <c r="F7" s="1091">
        <f>SUM(F5:G6)</f>
        <v>312229761.80000001</v>
      </c>
      <c r="G7" s="1091"/>
      <c r="J7" s="283">
        <f>+I16+F39</f>
        <v>9673169561.7305317</v>
      </c>
    </row>
    <row r="8" spans="1:10">
      <c r="A8" s="43"/>
      <c r="B8" s="43"/>
      <c r="C8" s="43"/>
      <c r="D8" s="72"/>
      <c r="E8" s="72"/>
      <c r="F8" s="72"/>
      <c r="G8" s="72"/>
      <c r="J8" s="283">
        <f>+J6+J7</f>
        <v>27509575730.451042</v>
      </c>
    </row>
    <row r="9" spans="1:10" ht="13.8">
      <c r="A9" s="43"/>
      <c r="B9" s="53" t="s">
        <v>315</v>
      </c>
      <c r="C9" s="43"/>
      <c r="D9" s="72"/>
      <c r="E9" s="72"/>
      <c r="F9" s="72"/>
      <c r="G9" s="72"/>
    </row>
    <row r="10" spans="1:10">
      <c r="A10" s="43"/>
      <c r="B10" s="43"/>
      <c r="C10" s="43"/>
      <c r="D10" s="72"/>
      <c r="E10" s="72"/>
      <c r="F10" s="72"/>
      <c r="G10" s="72"/>
    </row>
    <row r="11" spans="1:10">
      <c r="A11" s="35" t="s">
        <v>192</v>
      </c>
      <c r="B11" s="1025" t="s">
        <v>316</v>
      </c>
      <c r="C11" s="1025"/>
      <c r="D11" s="1092" t="s">
        <v>194</v>
      </c>
      <c r="E11" s="1092"/>
      <c r="F11" s="1092" t="s">
        <v>195</v>
      </c>
      <c r="G11" s="1092"/>
    </row>
    <row r="12" spans="1:10">
      <c r="A12" s="29">
        <v>1</v>
      </c>
      <c r="B12" s="1089" t="s">
        <v>317</v>
      </c>
      <c r="C12" s="1089"/>
      <c r="D12" s="1090">
        <v>508122537.94</v>
      </c>
      <c r="E12" s="1090"/>
      <c r="F12" s="1090">
        <f>+'BL mn'!N131</f>
        <v>1971409874.3299999</v>
      </c>
      <c r="G12" s="1090"/>
    </row>
    <row r="13" spans="1:10">
      <c r="A13" s="29">
        <v>2</v>
      </c>
      <c r="B13" s="1089" t="s">
        <v>318</v>
      </c>
      <c r="C13" s="1089"/>
      <c r="D13" s="1090">
        <v>1016573756.98</v>
      </c>
      <c r="E13" s="1090"/>
      <c r="F13" s="1090">
        <f>+'BL mn'!N133+0.04</f>
        <v>336781610.09000003</v>
      </c>
      <c r="G13" s="1090"/>
      <c r="I13" s="71">
        <v>277924811.77999997</v>
      </c>
    </row>
    <row r="14" spans="1:10">
      <c r="A14" s="29">
        <v>3</v>
      </c>
      <c r="B14" s="1089" t="s">
        <v>319</v>
      </c>
      <c r="C14" s="1089"/>
      <c r="D14" s="1090">
        <v>81211652.080000013</v>
      </c>
      <c r="E14" s="1090"/>
      <c r="F14" s="1090">
        <f>+'BL mn'!N132</f>
        <v>462394578.40000004</v>
      </c>
      <c r="G14" s="1090"/>
    </row>
    <row r="15" spans="1:10">
      <c r="A15" s="29">
        <v>4</v>
      </c>
      <c r="B15" s="1089" t="s">
        <v>320</v>
      </c>
      <c r="C15" s="1089"/>
      <c r="D15" s="1090"/>
      <c r="E15" s="1090"/>
      <c r="F15" s="1090"/>
      <c r="G15" s="1090"/>
    </row>
    <row r="16" spans="1:10">
      <c r="A16" s="1088" t="s">
        <v>82</v>
      </c>
      <c r="B16" s="1088"/>
      <c r="C16" s="1088"/>
      <c r="D16" s="1091">
        <f>SUM(D12:E15)</f>
        <v>1605907947</v>
      </c>
      <c r="E16" s="1091"/>
      <c r="F16" s="1091">
        <f>SUM(F12:G15)</f>
        <v>2770586062.8200002</v>
      </c>
      <c r="G16" s="1091"/>
      <c r="I16" s="71">
        <f>+balance!D37</f>
        <v>7605183769.098093</v>
      </c>
      <c r="J16" s="283">
        <f>+F16-I16</f>
        <v>-4834597706.2780933</v>
      </c>
    </row>
    <row r="17" spans="1:11">
      <c r="A17" s="20"/>
      <c r="B17" s="19"/>
      <c r="C17" s="19"/>
      <c r="D17" s="19"/>
      <c r="E17" s="408">
        <f>947761578.2-D16</f>
        <v>-658146368.79999995</v>
      </c>
      <c r="F17" s="19"/>
      <c r="G17" s="408">
        <f>1605907947-F16</f>
        <v>-1164678115.8200002</v>
      </c>
    </row>
    <row r="18" spans="1:11" ht="13.8">
      <c r="A18" s="43"/>
      <c r="B18" s="53" t="s">
        <v>321</v>
      </c>
      <c r="C18" s="43"/>
      <c r="D18" s="43"/>
      <c r="E18" s="43"/>
      <c r="F18" s="43"/>
      <c r="G18" s="43"/>
    </row>
    <row r="19" spans="1:11">
      <c r="A19" s="43"/>
      <c r="B19" s="43"/>
      <c r="C19" s="43"/>
      <c r="D19" s="43"/>
      <c r="E19" s="43"/>
      <c r="F19" s="43"/>
      <c r="G19" s="43"/>
    </row>
    <row r="20" spans="1:11">
      <c r="A20" s="1025" t="s">
        <v>192</v>
      </c>
      <c r="B20" s="1037" t="s">
        <v>5</v>
      </c>
      <c r="C20" s="1037"/>
      <c r="D20" s="1088" t="s">
        <v>194</v>
      </c>
      <c r="E20" s="1088"/>
      <c r="F20" s="1088" t="s">
        <v>195</v>
      </c>
      <c r="G20" s="1088"/>
    </row>
    <row r="21" spans="1:11">
      <c r="A21" s="1025"/>
      <c r="B21" s="1037"/>
      <c r="C21" s="1037"/>
      <c r="D21" s="39" t="s">
        <v>322</v>
      </c>
      <c r="E21" s="39" t="s">
        <v>323</v>
      </c>
      <c r="F21" s="39" t="s">
        <v>322</v>
      </c>
      <c r="G21" s="39" t="s">
        <v>323</v>
      </c>
    </row>
    <row r="22" spans="1:11">
      <c r="A22" s="29">
        <v>1</v>
      </c>
      <c r="B22" s="1089" t="s">
        <v>313</v>
      </c>
      <c r="C22" s="1089"/>
      <c r="D22" s="67">
        <v>26014975000</v>
      </c>
      <c r="E22" s="67">
        <v>1250000</v>
      </c>
      <c r="F22" s="67">
        <f>+'BL mn'!N142</f>
        <v>40469032684.170006</v>
      </c>
      <c r="G22" s="67">
        <v>1250000</v>
      </c>
    </row>
    <row r="23" spans="1:11">
      <c r="A23" s="1088" t="s">
        <v>309</v>
      </c>
      <c r="B23" s="1088"/>
      <c r="C23" s="1088"/>
      <c r="D23" s="70">
        <f>SUM(D22:D22)</f>
        <v>26014975000</v>
      </c>
      <c r="E23" s="70">
        <f>SUM(E22:E22)</f>
        <v>1250000</v>
      </c>
      <c r="F23" s="70">
        <f>SUM(F22:F22)</f>
        <v>40469032684.170006</v>
      </c>
      <c r="G23" s="70">
        <f>SUM(G22:G22)</f>
        <v>1250000</v>
      </c>
      <c r="I23" s="71">
        <f>+F23+F52</f>
        <v>70671812684.170013</v>
      </c>
      <c r="J23">
        <f>+balance!D49+balance!D39</f>
        <v>223448282361.60999</v>
      </c>
      <c r="K23" s="283">
        <f>+I23-J23</f>
        <v>-152776469677.43997</v>
      </c>
    </row>
    <row r="24" spans="1:11">
      <c r="A24" s="20"/>
      <c r="B24" s="19"/>
      <c r="C24" s="19"/>
      <c r="D24" s="74"/>
      <c r="E24" s="74"/>
      <c r="F24" s="74"/>
      <c r="G24" s="74"/>
    </row>
    <row r="25" spans="1:11" ht="13.8">
      <c r="A25" s="43"/>
      <c r="B25" s="38" t="s">
        <v>324</v>
      </c>
      <c r="C25" s="26"/>
      <c r="D25" s="75"/>
      <c r="E25" s="72"/>
      <c r="F25" s="72"/>
      <c r="G25" s="72"/>
    </row>
    <row r="26" spans="1:11">
      <c r="A26" s="43"/>
      <c r="B26" s="43"/>
      <c r="C26" s="43"/>
      <c r="D26" s="72"/>
      <c r="E26" s="72"/>
      <c r="F26" s="72"/>
      <c r="G26" s="72"/>
    </row>
    <row r="27" spans="1:11" ht="39.6">
      <c r="A27" s="35" t="s">
        <v>192</v>
      </c>
      <c r="B27" s="27" t="s">
        <v>5</v>
      </c>
      <c r="C27" s="27" t="s">
        <v>194</v>
      </c>
      <c r="D27" s="76" t="s">
        <v>206</v>
      </c>
      <c r="E27" s="77" t="s">
        <v>325</v>
      </c>
      <c r="F27" s="77" t="s">
        <v>326</v>
      </c>
      <c r="G27" s="77" t="s">
        <v>195</v>
      </c>
    </row>
    <row r="28" spans="1:11">
      <c r="A28" s="29">
        <v>1</v>
      </c>
      <c r="B28" s="40" t="s">
        <v>327</v>
      </c>
      <c r="C28" s="37"/>
      <c r="D28" s="67"/>
      <c r="E28" s="67"/>
      <c r="F28" s="67"/>
      <c r="G28" s="68">
        <v>0</v>
      </c>
    </row>
    <row r="29" spans="1:11">
      <c r="A29" s="29">
        <v>2</v>
      </c>
      <c r="B29" s="40" t="s">
        <v>328</v>
      </c>
      <c r="C29" s="37"/>
      <c r="D29" s="67"/>
      <c r="E29" s="67"/>
      <c r="F29" s="67"/>
      <c r="G29" s="68">
        <v>0</v>
      </c>
    </row>
    <row r="30" spans="1:11">
      <c r="A30" s="1088" t="s">
        <v>309</v>
      </c>
      <c r="B30" s="1088"/>
      <c r="C30" s="70">
        <v>0</v>
      </c>
      <c r="D30" s="70">
        <v>0</v>
      </c>
      <c r="E30" s="70">
        <v>0</v>
      </c>
      <c r="F30" s="70">
        <v>0</v>
      </c>
      <c r="G30" s="70">
        <v>0</v>
      </c>
    </row>
    <row r="31" spans="1:11">
      <c r="A31" s="20"/>
      <c r="B31" s="54"/>
      <c r="C31" s="55"/>
      <c r="D31" s="55"/>
      <c r="E31" s="55"/>
      <c r="F31" s="55"/>
      <c r="G31" s="55"/>
    </row>
    <row r="32" spans="1:11">
      <c r="A32" s="1093" t="s">
        <v>329</v>
      </c>
      <c r="B32" s="1093"/>
      <c r="C32" s="1093"/>
      <c r="D32" s="1093"/>
      <c r="E32" s="1093"/>
      <c r="F32" s="1093"/>
      <c r="G32" s="1093"/>
    </row>
    <row r="33" spans="1:7">
      <c r="A33" s="24"/>
      <c r="B33" s="24"/>
      <c r="C33" s="24"/>
      <c r="D33" s="24"/>
      <c r="E33" s="24"/>
      <c r="F33" s="24"/>
      <c r="G33" s="24"/>
    </row>
    <row r="34" spans="1:7">
      <c r="A34" s="25"/>
      <c r="B34" s="25"/>
      <c r="C34" s="25"/>
      <c r="D34" s="25"/>
      <c r="E34" s="25"/>
      <c r="F34" s="25"/>
      <c r="G34" s="25"/>
    </row>
    <row r="35" spans="1:7" ht="13.8">
      <c r="A35" s="43"/>
      <c r="B35" s="38" t="s">
        <v>330</v>
      </c>
      <c r="C35" s="26"/>
      <c r="D35" s="26"/>
      <c r="E35" s="26"/>
      <c r="F35" s="43"/>
      <c r="G35" s="43"/>
    </row>
    <row r="36" spans="1:7">
      <c r="A36" s="43"/>
      <c r="B36" s="43"/>
      <c r="C36" s="43"/>
      <c r="D36" s="43"/>
      <c r="E36" s="43"/>
      <c r="F36" s="43"/>
      <c r="G36" s="43"/>
    </row>
    <row r="37" spans="1:7">
      <c r="A37" s="35" t="s">
        <v>192</v>
      </c>
      <c r="B37" s="985" t="s">
        <v>193</v>
      </c>
      <c r="C37" s="987"/>
      <c r="D37" s="1088" t="s">
        <v>194</v>
      </c>
      <c r="E37" s="1088"/>
      <c r="F37" s="1088" t="s">
        <v>195</v>
      </c>
      <c r="G37" s="1088"/>
    </row>
    <row r="38" spans="1:7">
      <c r="A38" s="29">
        <v>1</v>
      </c>
      <c r="B38" s="1089"/>
      <c r="C38" s="1089"/>
      <c r="D38" s="1090">
        <v>12645254.439999999</v>
      </c>
      <c r="E38" s="1090"/>
      <c r="F38" s="1090">
        <f>+balance!D44</f>
        <v>2067985792.6324379</v>
      </c>
      <c r="G38" s="1090"/>
    </row>
    <row r="39" spans="1:7">
      <c r="A39" s="1088" t="s">
        <v>309</v>
      </c>
      <c r="B39" s="1088"/>
      <c r="C39" s="1088"/>
      <c r="D39" s="1091">
        <f>SUM(D38)</f>
        <v>12645254.439999999</v>
      </c>
      <c r="E39" s="1091"/>
      <c r="F39" s="1091">
        <f>SUM(F38)</f>
        <v>2067985792.6324379</v>
      </c>
      <c r="G39" s="1091"/>
    </row>
    <row r="40" spans="1:7">
      <c r="A40" s="20"/>
      <c r="B40" s="19" t="s">
        <v>331</v>
      </c>
      <c r="C40" s="19"/>
      <c r="D40" s="74"/>
      <c r="E40" s="74"/>
      <c r="F40" s="74"/>
      <c r="G40" s="74"/>
    </row>
    <row r="41" spans="1:7" ht="23.25" customHeight="1">
      <c r="A41" s="1094"/>
      <c r="B41" s="1094"/>
      <c r="C41" s="1094"/>
      <c r="D41" s="1094"/>
      <c r="E41" s="1094"/>
      <c r="F41" s="1094"/>
      <c r="G41" s="1094"/>
    </row>
    <row r="42" spans="1:7">
      <c r="A42" s="43"/>
      <c r="B42" s="43"/>
      <c r="C42" s="43"/>
      <c r="D42" s="72"/>
      <c r="E42" s="72"/>
      <c r="F42" s="72"/>
      <c r="G42" s="72"/>
    </row>
    <row r="43" spans="1:7" ht="13.8">
      <c r="A43" s="43"/>
      <c r="B43" s="38" t="s">
        <v>332</v>
      </c>
      <c r="C43" s="26"/>
      <c r="D43" s="75"/>
      <c r="E43" s="75"/>
      <c r="F43" s="75"/>
      <c r="G43" s="72"/>
    </row>
    <row r="44" spans="1:7">
      <c r="A44" s="43"/>
      <c r="B44" s="43"/>
      <c r="C44" s="43"/>
      <c r="D44" s="72"/>
      <c r="E44" s="72"/>
      <c r="F44" s="72"/>
      <c r="G44" s="72"/>
    </row>
    <row r="45" spans="1:7">
      <c r="A45" s="1025" t="s">
        <v>192</v>
      </c>
      <c r="B45" s="1037" t="s">
        <v>193</v>
      </c>
      <c r="C45" s="1037"/>
      <c r="D45" s="1092" t="s">
        <v>194</v>
      </c>
      <c r="E45" s="1092"/>
      <c r="F45" s="1092" t="s">
        <v>195</v>
      </c>
      <c r="G45" s="1092"/>
    </row>
    <row r="46" spans="1:7">
      <c r="A46" s="1025"/>
      <c r="B46" s="1037"/>
      <c r="C46" s="1037"/>
      <c r="D46" s="73" t="s">
        <v>322</v>
      </c>
      <c r="E46" s="73" t="s">
        <v>323</v>
      </c>
      <c r="F46" s="73" t="s">
        <v>322</v>
      </c>
      <c r="G46" s="73" t="s">
        <v>323</v>
      </c>
    </row>
    <row r="47" spans="1:7">
      <c r="A47" s="29">
        <v>1</v>
      </c>
      <c r="B47" s="1089" t="s">
        <v>333</v>
      </c>
      <c r="C47" s="1089"/>
      <c r="D47" s="67">
        <v>23880000000</v>
      </c>
      <c r="E47" s="67">
        <f>SUM(E48:E50)</f>
        <v>0</v>
      </c>
      <c r="F47" s="67">
        <f>SUM(F48:F50)</f>
        <v>30202780000</v>
      </c>
      <c r="G47" s="67">
        <f>SUM(G48:G50)</f>
        <v>0</v>
      </c>
    </row>
    <row r="48" spans="1:7">
      <c r="A48" s="29"/>
      <c r="B48" s="1089" t="s">
        <v>334</v>
      </c>
      <c r="C48" s="1089"/>
      <c r="D48" s="67"/>
      <c r="E48" s="67">
        <f>+D48/15.74</f>
        <v>0</v>
      </c>
      <c r="F48" s="67"/>
      <c r="G48" s="67"/>
    </row>
    <row r="49" spans="1:9">
      <c r="A49" s="29"/>
      <c r="B49" s="1089" t="s">
        <v>335</v>
      </c>
      <c r="C49" s="1089"/>
      <c r="D49" s="67"/>
      <c r="E49" s="67">
        <v>0</v>
      </c>
      <c r="F49" s="67"/>
      <c r="G49" s="67"/>
    </row>
    <row r="50" spans="1:9">
      <c r="A50" s="29"/>
      <c r="B50" s="1089" t="s">
        <v>336</v>
      </c>
      <c r="C50" s="1089"/>
      <c r="D50" s="67">
        <v>23880000000</v>
      </c>
      <c r="E50" s="67"/>
      <c r="F50" s="67">
        <f>+'BL mn'!N152-0-F48+'BL mn'!N154-F49</f>
        <v>30202780000</v>
      </c>
      <c r="G50" s="67"/>
    </row>
    <row r="51" spans="1:9">
      <c r="A51" s="29">
        <v>2</v>
      </c>
      <c r="B51" s="1089" t="s">
        <v>337</v>
      </c>
      <c r="C51" s="1089"/>
      <c r="D51" s="67">
        <v>0</v>
      </c>
      <c r="E51" s="67">
        <v>0</v>
      </c>
      <c r="F51" s="67">
        <v>0</v>
      </c>
      <c r="G51" s="67">
        <v>0</v>
      </c>
    </row>
    <row r="52" spans="1:9">
      <c r="A52" s="1025" t="s">
        <v>338</v>
      </c>
      <c r="B52" s="1025"/>
      <c r="C52" s="1025"/>
      <c r="D52" s="70">
        <f>+D51+D47</f>
        <v>23880000000</v>
      </c>
      <c r="E52" s="70">
        <f>+E51+E47</f>
        <v>0</v>
      </c>
      <c r="F52" s="70">
        <f>+F51+F47</f>
        <v>30202780000</v>
      </c>
      <c r="G52" s="70">
        <f>+G51+G47</f>
        <v>0</v>
      </c>
    </row>
    <row r="53" spans="1:9">
      <c r="A53" s="26"/>
      <c r="B53" s="26"/>
      <c r="C53" s="26"/>
      <c r="D53" s="336">
        <f>+'BL mn'!AB158-D47</f>
        <v>-11979166739.07</v>
      </c>
      <c r="E53" s="26"/>
      <c r="F53" s="26"/>
      <c r="G53" s="26"/>
    </row>
    <row r="54" spans="1:9">
      <c r="A54" s="1093" t="s">
        <v>339</v>
      </c>
      <c r="B54" s="1093"/>
      <c r="C54" s="1093"/>
      <c r="D54" s="1093"/>
      <c r="E54" s="1093"/>
      <c r="F54" s="1093"/>
      <c r="G54" s="1093"/>
    </row>
    <row r="55" spans="1:9" ht="26.25" customHeight="1">
      <c r="A55" s="1094"/>
      <c r="B55" s="1094"/>
      <c r="C55" s="1094"/>
      <c r="D55" s="1094"/>
      <c r="E55" s="1094"/>
      <c r="F55" s="1094"/>
      <c r="G55" s="1094"/>
      <c r="I55" s="245">
        <f>+F52+F23+F16+F7+F39</f>
        <v>75822614301.422455</v>
      </c>
    </row>
    <row r="56" spans="1:9">
      <c r="A56" s="26"/>
      <c r="B56" s="26"/>
      <c r="C56" s="26"/>
      <c r="D56" s="26"/>
      <c r="E56" s="26"/>
      <c r="F56" s="26"/>
      <c r="G56" s="26"/>
      <c r="I56" s="245">
        <f>+'BL mn'!N160</f>
        <v>78475618744.279999</v>
      </c>
    </row>
    <row r="57" spans="1:9">
      <c r="A57" s="21" t="s">
        <v>340</v>
      </c>
      <c r="B57" s="22"/>
      <c r="C57" s="22"/>
      <c r="D57" s="22"/>
      <c r="E57" s="22"/>
      <c r="F57" s="22"/>
      <c r="G57" s="22"/>
      <c r="I57" s="245">
        <f>+I56-I55</f>
        <v>2653004442.8575439</v>
      </c>
    </row>
    <row r="58" spans="1:9">
      <c r="A58" s="43"/>
      <c r="B58" s="43"/>
      <c r="C58" s="43"/>
      <c r="D58" s="43"/>
      <c r="E58" s="43"/>
      <c r="F58" s="43"/>
      <c r="G58" s="43"/>
    </row>
    <row r="59" spans="1:9" ht="13.8">
      <c r="A59" s="43"/>
      <c r="B59" s="38" t="s">
        <v>341</v>
      </c>
      <c r="C59" s="41"/>
      <c r="D59" s="41"/>
      <c r="E59" s="43"/>
      <c r="F59" s="43"/>
      <c r="G59" s="43"/>
    </row>
    <row r="60" spans="1:9">
      <c r="A60" s="43"/>
      <c r="B60" s="43"/>
      <c r="C60" s="43"/>
      <c r="D60" s="43"/>
      <c r="E60" s="43"/>
      <c r="F60" s="43"/>
      <c r="G60" s="43"/>
    </row>
    <row r="61" spans="1:9">
      <c r="A61" s="1025" t="s">
        <v>192</v>
      </c>
      <c r="B61" s="1037" t="s">
        <v>5</v>
      </c>
      <c r="C61" s="1037" t="s">
        <v>342</v>
      </c>
      <c r="D61" s="1037"/>
      <c r="E61" s="1037" t="s">
        <v>343</v>
      </c>
      <c r="F61" s="1037"/>
      <c r="G61" s="1037" t="s">
        <v>344</v>
      </c>
    </row>
    <row r="62" spans="1:9">
      <c r="A62" s="1025"/>
      <c r="B62" s="1037"/>
      <c r="C62" s="27" t="s">
        <v>345</v>
      </c>
      <c r="D62" s="27" t="s">
        <v>346</v>
      </c>
      <c r="E62" s="27" t="s">
        <v>345</v>
      </c>
      <c r="F62" s="27" t="s">
        <v>346</v>
      </c>
      <c r="G62" s="1037"/>
    </row>
    <row r="63" spans="1:9">
      <c r="A63" s="29">
        <v>1</v>
      </c>
      <c r="B63" s="48" t="s">
        <v>194</v>
      </c>
      <c r="C63" s="67">
        <v>7801125</v>
      </c>
      <c r="D63" s="67">
        <f>+'BL mn'!AB163</f>
        <v>780112500</v>
      </c>
      <c r="E63" s="67"/>
      <c r="F63" s="67"/>
      <c r="G63" s="67">
        <f>+D63+F63</f>
        <v>780112500</v>
      </c>
    </row>
    <row r="64" spans="1:9">
      <c r="A64" s="29">
        <v>2</v>
      </c>
      <c r="B64" s="48" t="s">
        <v>347</v>
      </c>
      <c r="C64" s="67"/>
      <c r="D64" s="67"/>
      <c r="E64" s="67"/>
      <c r="F64" s="67"/>
      <c r="G64" s="67">
        <f>+D64+F64</f>
        <v>0</v>
      </c>
    </row>
    <row r="65" spans="1:7">
      <c r="A65" s="29">
        <v>3</v>
      </c>
      <c r="B65" s="48" t="s">
        <v>207</v>
      </c>
      <c r="C65" s="67"/>
      <c r="D65" s="67"/>
      <c r="E65" s="67"/>
      <c r="F65" s="67"/>
      <c r="G65" s="67">
        <f>+D65+F65</f>
        <v>0</v>
      </c>
    </row>
    <row r="66" spans="1:7">
      <c r="A66" s="1096" t="s">
        <v>195</v>
      </c>
      <c r="B66" s="1097"/>
      <c r="C66" s="70">
        <f>SUM(C63:C65)</f>
        <v>7801125</v>
      </c>
      <c r="D66" s="70">
        <f>SUM(D63:D65)</f>
        <v>780112500</v>
      </c>
      <c r="E66" s="70">
        <v>0</v>
      </c>
      <c r="F66" s="70">
        <v>0</v>
      </c>
      <c r="G66" s="70">
        <f>SUM(G63:G65)</f>
        <v>780112500</v>
      </c>
    </row>
    <row r="67" spans="1:7">
      <c r="A67" s="20"/>
      <c r="B67" s="54"/>
      <c r="C67" s="78"/>
      <c r="D67" s="78"/>
      <c r="E67" s="78"/>
      <c r="F67" s="78"/>
      <c r="G67" s="78"/>
    </row>
    <row r="68" spans="1:7" ht="13.8">
      <c r="A68" s="20"/>
      <c r="B68" s="56" t="s">
        <v>348</v>
      </c>
      <c r="C68" s="74"/>
      <c r="D68" s="74"/>
      <c r="E68" s="74"/>
      <c r="F68" s="74"/>
      <c r="G68" s="74"/>
    </row>
    <row r="69" spans="1:7">
      <c r="A69" s="20"/>
      <c r="B69" s="19"/>
      <c r="C69" s="74"/>
      <c r="D69" s="74"/>
      <c r="E69" s="74"/>
      <c r="F69" s="74"/>
      <c r="G69" s="74"/>
    </row>
    <row r="70" spans="1:7">
      <c r="A70" s="27" t="s">
        <v>192</v>
      </c>
      <c r="B70" s="27" t="s">
        <v>5</v>
      </c>
      <c r="C70" s="1008" t="s">
        <v>349</v>
      </c>
      <c r="D70" s="1008"/>
      <c r="E70" s="1008" t="s">
        <v>350</v>
      </c>
      <c r="F70" s="1008"/>
      <c r="G70" s="76" t="s">
        <v>82</v>
      </c>
    </row>
    <row r="71" spans="1:7">
      <c r="A71" s="35">
        <v>1</v>
      </c>
      <c r="B71" s="57" t="s">
        <v>194</v>
      </c>
      <c r="C71" s="1090">
        <f>+'BL mn'!AB169</f>
        <v>14849519333.43</v>
      </c>
      <c r="D71" s="1090"/>
      <c r="E71" s="1095"/>
      <c r="F71" s="1095"/>
      <c r="G71" s="67">
        <f>+C71+E71</f>
        <v>14849519333.43</v>
      </c>
    </row>
    <row r="72" spans="1:7">
      <c r="A72" s="35">
        <v>2</v>
      </c>
      <c r="B72" s="57" t="s">
        <v>256</v>
      </c>
      <c r="C72" s="1090"/>
      <c r="D72" s="1090"/>
      <c r="E72" s="1095"/>
      <c r="F72" s="1095"/>
      <c r="G72" s="67">
        <f t="shared" ref="G72:G78" si="0">+C72+E72</f>
        <v>0</v>
      </c>
    </row>
    <row r="73" spans="1:7">
      <c r="A73" s="58"/>
      <c r="B73" s="40" t="s">
        <v>351</v>
      </c>
      <c r="C73" s="1090">
        <f>+balance!D62-balance!C62</f>
        <v>-4301861000</v>
      </c>
      <c r="D73" s="1090"/>
      <c r="E73" s="1095"/>
      <c r="F73" s="1095"/>
      <c r="G73" s="67">
        <f t="shared" si="0"/>
        <v>-4301861000</v>
      </c>
    </row>
    <row r="74" spans="1:7" ht="36" customHeight="1">
      <c r="A74" s="58"/>
      <c r="B74" s="59" t="s">
        <v>352</v>
      </c>
      <c r="C74" s="1090"/>
      <c r="D74" s="1090"/>
      <c r="E74" s="1095"/>
      <c r="F74" s="1095"/>
      <c r="G74" s="67">
        <f t="shared" si="0"/>
        <v>0</v>
      </c>
    </row>
    <row r="75" spans="1:7">
      <c r="A75" s="35">
        <v>3</v>
      </c>
      <c r="B75" s="57" t="s">
        <v>353</v>
      </c>
      <c r="C75" s="1090"/>
      <c r="D75" s="1090"/>
      <c r="E75" s="1095"/>
      <c r="F75" s="1095"/>
      <c r="G75" s="67">
        <f t="shared" si="0"/>
        <v>0</v>
      </c>
    </row>
    <row r="76" spans="1:7">
      <c r="A76" s="29"/>
      <c r="B76" s="40" t="s">
        <v>351</v>
      </c>
      <c r="C76" s="1090"/>
      <c r="D76" s="1090"/>
      <c r="E76" s="1095"/>
      <c r="F76" s="1095"/>
      <c r="G76" s="67">
        <f t="shared" si="0"/>
        <v>0</v>
      </c>
    </row>
    <row r="77" spans="1:7" ht="29.25" customHeight="1">
      <c r="A77" s="29"/>
      <c r="B77" s="59" t="s">
        <v>88</v>
      </c>
      <c r="C77" s="1090"/>
      <c r="D77" s="1090"/>
      <c r="E77" s="1095"/>
      <c r="F77" s="1095"/>
      <c r="G77" s="67">
        <f t="shared" si="0"/>
        <v>0</v>
      </c>
    </row>
    <row r="78" spans="1:7" ht="26.4">
      <c r="A78" s="29"/>
      <c r="B78" s="59" t="s">
        <v>354</v>
      </c>
      <c r="C78" s="1090"/>
      <c r="D78" s="1090"/>
      <c r="E78" s="1095"/>
      <c r="F78" s="1095"/>
      <c r="G78" s="67">
        <f t="shared" si="0"/>
        <v>0</v>
      </c>
    </row>
    <row r="79" spans="1:7">
      <c r="A79" s="1096" t="s">
        <v>195</v>
      </c>
      <c r="B79" s="1097"/>
      <c r="C79" s="1091">
        <f>+C71+C73</f>
        <v>10547658333.43</v>
      </c>
      <c r="D79" s="1091"/>
      <c r="E79" s="1091">
        <v>0</v>
      </c>
      <c r="F79" s="1091"/>
      <c r="G79" s="68">
        <f>SUM(G71:G78)</f>
        <v>10547658333.43</v>
      </c>
    </row>
    <row r="80" spans="1:7">
      <c r="A80" s="1098" t="s">
        <v>355</v>
      </c>
      <c r="B80" s="1098"/>
      <c r="C80" s="1098"/>
      <c r="D80" s="1098"/>
      <c r="E80" s="1098"/>
      <c r="F80" s="1098"/>
      <c r="G80" s="1098"/>
    </row>
    <row r="81" spans="1:7">
      <c r="A81" s="60"/>
      <c r="B81" s="61"/>
      <c r="C81" s="61"/>
      <c r="D81" s="61"/>
      <c r="E81" s="61"/>
      <c r="F81" s="61"/>
      <c r="G81" s="61"/>
    </row>
    <row r="82" spans="1:7">
      <c r="A82" s="1099" t="s">
        <v>356</v>
      </c>
      <c r="B82" s="1099"/>
      <c r="C82" s="1099"/>
      <c r="D82" s="1099"/>
      <c r="E82" s="1099"/>
      <c r="F82" s="1099"/>
      <c r="G82" s="1099"/>
    </row>
    <row r="83" spans="1:7">
      <c r="A83" s="20"/>
      <c r="B83" s="20"/>
      <c r="C83" s="20"/>
      <c r="D83" s="20"/>
      <c r="E83" s="20"/>
      <c r="F83" s="20"/>
      <c r="G83" s="20"/>
    </row>
    <row r="84" spans="1:7" ht="13.8">
      <c r="A84" s="20"/>
      <c r="B84" s="56" t="s">
        <v>357</v>
      </c>
      <c r="C84" s="19"/>
      <c r="D84" s="19"/>
      <c r="E84" s="19"/>
      <c r="F84" s="19"/>
      <c r="G84" s="19"/>
    </row>
    <row r="85" spans="1:7">
      <c r="A85" s="20"/>
      <c r="B85" s="19"/>
      <c r="C85" s="19"/>
      <c r="D85" s="19"/>
      <c r="E85" s="19"/>
      <c r="F85" s="19"/>
      <c r="G85" s="19"/>
    </row>
    <row r="86" spans="1:7">
      <c r="A86" s="27" t="s">
        <v>79</v>
      </c>
      <c r="B86" s="27" t="s">
        <v>5</v>
      </c>
      <c r="C86" s="1037" t="s">
        <v>194</v>
      </c>
      <c r="D86" s="1037"/>
      <c r="E86" s="27" t="s">
        <v>206</v>
      </c>
      <c r="F86" s="27" t="s">
        <v>358</v>
      </c>
      <c r="G86" s="27" t="s">
        <v>195</v>
      </c>
    </row>
    <row r="87" spans="1:7" ht="26.4">
      <c r="A87" s="29">
        <v>1</v>
      </c>
      <c r="B87" s="62" t="s">
        <v>359</v>
      </c>
      <c r="C87" s="1100"/>
      <c r="D87" s="1100"/>
      <c r="E87" s="79"/>
      <c r="F87" s="79"/>
      <c r="G87" s="69"/>
    </row>
    <row r="88" spans="1:7" ht="39.6">
      <c r="A88" s="29">
        <v>2</v>
      </c>
      <c r="B88" s="59" t="s">
        <v>360</v>
      </c>
      <c r="C88" s="1100"/>
      <c r="D88" s="1100"/>
      <c r="E88" s="79"/>
      <c r="F88" s="79"/>
      <c r="G88" s="69"/>
    </row>
    <row r="89" spans="1:7">
      <c r="A89" s="29">
        <v>3</v>
      </c>
      <c r="B89" s="40" t="s">
        <v>231</v>
      </c>
      <c r="C89" s="1100"/>
      <c r="D89" s="1100"/>
      <c r="E89" s="79"/>
      <c r="F89" s="79"/>
      <c r="G89" s="69"/>
    </row>
    <row r="90" spans="1:7">
      <c r="A90" s="1088" t="s">
        <v>82</v>
      </c>
      <c r="B90" s="1088"/>
      <c r="C90" s="1091">
        <v>0</v>
      </c>
      <c r="D90" s="1091"/>
      <c r="E90" s="68">
        <v>0</v>
      </c>
      <c r="F90" s="68">
        <v>0</v>
      </c>
      <c r="G90" s="68">
        <v>0</v>
      </c>
    </row>
    <row r="91" spans="1:7">
      <c r="A91" s="20"/>
      <c r="B91" s="41"/>
      <c r="C91" s="54"/>
      <c r="D91" s="54"/>
      <c r="E91" s="19"/>
      <c r="F91" s="19"/>
      <c r="G91" s="54"/>
    </row>
    <row r="92" spans="1:7" ht="13.8">
      <c r="A92" s="20"/>
      <c r="B92" s="38" t="s">
        <v>361</v>
      </c>
      <c r="C92" s="26"/>
      <c r="D92" s="26"/>
      <c r="E92" s="19"/>
      <c r="F92" s="19"/>
      <c r="G92" s="54"/>
    </row>
    <row r="93" spans="1:7">
      <c r="A93" s="20"/>
      <c r="B93" s="19"/>
      <c r="C93" s="19"/>
      <c r="D93" s="19"/>
      <c r="E93" s="19"/>
      <c r="F93" s="19"/>
      <c r="G93" s="19"/>
    </row>
    <row r="94" spans="1:7">
      <c r="A94" s="1023" t="s">
        <v>362</v>
      </c>
      <c r="B94" s="1023"/>
      <c r="C94" s="1023"/>
      <c r="D94" s="1023"/>
      <c r="E94" s="1023"/>
      <c r="F94" s="1023"/>
      <c r="G94" s="1023"/>
    </row>
    <row r="95" spans="1:7">
      <c r="A95" s="1023"/>
      <c r="B95" s="1023"/>
      <c r="C95" s="1023"/>
      <c r="D95" s="1023"/>
      <c r="E95" s="1023"/>
      <c r="F95" s="1023"/>
      <c r="G95" s="1023"/>
    </row>
    <row r="96" spans="1:7">
      <c r="A96" s="23"/>
      <c r="B96" s="23"/>
      <c r="C96" s="23"/>
      <c r="D96" s="23"/>
      <c r="E96" s="23"/>
      <c r="F96" s="23"/>
      <c r="G96" s="23"/>
    </row>
    <row r="97" spans="1:7">
      <c r="A97" s="63"/>
      <c r="B97" s="63" t="s">
        <v>1036</v>
      </c>
      <c r="C97" s="63"/>
      <c r="D97" s="63"/>
      <c r="E97" s="63"/>
      <c r="F97" s="63"/>
      <c r="G97" s="63"/>
    </row>
    <row r="98" spans="1:7">
      <c r="A98" s="63"/>
      <c r="B98" s="63"/>
      <c r="C98" s="63"/>
      <c r="D98" s="63"/>
      <c r="E98" s="63"/>
      <c r="F98" s="63"/>
      <c r="G98" s="63"/>
    </row>
    <row r="99" spans="1:7">
      <c r="A99" s="63"/>
      <c r="B99" s="63"/>
      <c r="C99" s="63"/>
      <c r="D99" s="63"/>
      <c r="E99" s="63"/>
      <c r="F99" s="63"/>
      <c r="G99" s="63"/>
    </row>
    <row r="100" spans="1:7">
      <c r="A100" s="63"/>
      <c r="B100" s="63"/>
      <c r="C100" s="63"/>
      <c r="D100" s="63"/>
      <c r="E100" s="63"/>
      <c r="F100" s="63"/>
      <c r="G100" s="63"/>
    </row>
  </sheetData>
  <mergeCells count="96">
    <mergeCell ref="C87:D87"/>
    <mergeCell ref="A94:G95"/>
    <mergeCell ref="C88:D88"/>
    <mergeCell ref="C89:D89"/>
    <mergeCell ref="A90:B90"/>
    <mergeCell ref="C90:D90"/>
    <mergeCell ref="A79:B79"/>
    <mergeCell ref="C79:D79"/>
    <mergeCell ref="E79:F79"/>
    <mergeCell ref="A80:G80"/>
    <mergeCell ref="A82:G82"/>
    <mergeCell ref="C86:D86"/>
    <mergeCell ref="C76:D76"/>
    <mergeCell ref="E76:F76"/>
    <mergeCell ref="C77:D77"/>
    <mergeCell ref="E77:F77"/>
    <mergeCell ref="C78:D78"/>
    <mergeCell ref="E78:F78"/>
    <mergeCell ref="C73:D73"/>
    <mergeCell ref="E73:F73"/>
    <mergeCell ref="C74:D74"/>
    <mergeCell ref="E74:F74"/>
    <mergeCell ref="C75:D75"/>
    <mergeCell ref="E75:F75"/>
    <mergeCell ref="C72:D72"/>
    <mergeCell ref="E72:F72"/>
    <mergeCell ref="A54:G54"/>
    <mergeCell ref="A61:A62"/>
    <mergeCell ref="B61:B62"/>
    <mergeCell ref="C61:D61"/>
    <mergeCell ref="E61:F61"/>
    <mergeCell ref="G61:G62"/>
    <mergeCell ref="A55:G55"/>
    <mergeCell ref="A66:B66"/>
    <mergeCell ref="C70:D70"/>
    <mergeCell ref="E70:F70"/>
    <mergeCell ref="C71:D71"/>
    <mergeCell ref="E71:F71"/>
    <mergeCell ref="A52:C52"/>
    <mergeCell ref="A39:C39"/>
    <mergeCell ref="D39:E39"/>
    <mergeCell ref="F39:G39"/>
    <mergeCell ref="A45:A46"/>
    <mergeCell ref="B45:C46"/>
    <mergeCell ref="D45:E45"/>
    <mergeCell ref="F45:G45"/>
    <mergeCell ref="A41:G41"/>
    <mergeCell ref="B47:C47"/>
    <mergeCell ref="B48:C48"/>
    <mergeCell ref="B49:C49"/>
    <mergeCell ref="B50:C50"/>
    <mergeCell ref="B51:C51"/>
    <mergeCell ref="B38:C38"/>
    <mergeCell ref="D38:E38"/>
    <mergeCell ref="F38:G38"/>
    <mergeCell ref="A20:A21"/>
    <mergeCell ref="B20:C21"/>
    <mergeCell ref="D20:E20"/>
    <mergeCell ref="F20:G20"/>
    <mergeCell ref="B22:C22"/>
    <mergeCell ref="A23:C23"/>
    <mergeCell ref="A30:B30"/>
    <mergeCell ref="A32:G32"/>
    <mergeCell ref="B37:C37"/>
    <mergeCell ref="D37:E37"/>
    <mergeCell ref="F37:G37"/>
    <mergeCell ref="B15:C15"/>
    <mergeCell ref="D15:E15"/>
    <mergeCell ref="F15:G15"/>
    <mergeCell ref="A16:C16"/>
    <mergeCell ref="D16:E16"/>
    <mergeCell ref="F16:G16"/>
    <mergeCell ref="B13:C13"/>
    <mergeCell ref="D13:E13"/>
    <mergeCell ref="F13:G13"/>
    <mergeCell ref="B14:C14"/>
    <mergeCell ref="D14:E14"/>
    <mergeCell ref="F14:G14"/>
    <mergeCell ref="B11:C11"/>
    <mergeCell ref="D11:E11"/>
    <mergeCell ref="F11:G11"/>
    <mergeCell ref="B12:C12"/>
    <mergeCell ref="D12:E12"/>
    <mergeCell ref="F12:G12"/>
    <mergeCell ref="B6:C6"/>
    <mergeCell ref="D6:E6"/>
    <mergeCell ref="F6:G6"/>
    <mergeCell ref="A7:C7"/>
    <mergeCell ref="D7:E7"/>
    <mergeCell ref="F7:G7"/>
    <mergeCell ref="B4:C4"/>
    <mergeCell ref="D4:E4"/>
    <mergeCell ref="F4:G4"/>
    <mergeCell ref="B5:C5"/>
    <mergeCell ref="D5:E5"/>
    <mergeCell ref="F5:G5"/>
  </mergeCells>
  <phoneticPr fontId="9" type="noConversion"/>
  <pageMargins left="0.7" right="0.7" top="0.75" bottom="0.75" header="0.3" footer="0.3"/>
  <pageSetup paperSize="9" scale="76" fitToHeight="0"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pageSetUpPr fitToPage="1"/>
  </sheetPr>
  <dimension ref="A1:I100"/>
  <sheetViews>
    <sheetView workbookViewId="0">
      <selection activeCell="G43" activeCellId="1" sqref="B5:C5 G43"/>
    </sheetView>
  </sheetViews>
  <sheetFormatPr defaultRowHeight="13.2"/>
  <cols>
    <col min="2" max="2" width="24.6640625" customWidth="1"/>
    <col min="3" max="3" width="12.6640625" customWidth="1"/>
    <col min="4" max="4" width="17.44140625" customWidth="1"/>
    <col min="5" max="5" width="13" customWidth="1"/>
    <col min="6" max="6" width="17.44140625" customWidth="1"/>
    <col min="7" max="7" width="15.5546875" customWidth="1"/>
    <col min="9" max="9" width="20.44140625" style="71" customWidth="1"/>
  </cols>
  <sheetData>
    <row r="1" spans="1:7">
      <c r="A1" s="21" t="s">
        <v>310</v>
      </c>
      <c r="B1" s="22"/>
      <c r="C1" s="22"/>
      <c r="D1" s="22"/>
      <c r="E1" s="22"/>
      <c r="F1" s="22"/>
      <c r="G1" s="22"/>
    </row>
    <row r="2" spans="1:7" ht="13.8">
      <c r="A2" s="43"/>
      <c r="B2" s="53" t="s">
        <v>311</v>
      </c>
      <c r="C2" s="43"/>
      <c r="D2" s="43"/>
      <c r="E2" s="43"/>
      <c r="F2" s="43"/>
      <c r="G2" s="43"/>
    </row>
    <row r="3" spans="1:7">
      <c r="A3" s="43"/>
      <c r="B3" s="43"/>
      <c r="C3" s="43"/>
      <c r="D3" s="43"/>
      <c r="E3" s="43"/>
      <c r="F3" s="43"/>
      <c r="G3" s="43"/>
    </row>
    <row r="4" spans="1:7">
      <c r="A4" s="35" t="s">
        <v>192</v>
      </c>
      <c r="B4" s="1037" t="s">
        <v>312</v>
      </c>
      <c r="C4" s="1037"/>
      <c r="D4" s="1088" t="s">
        <v>194</v>
      </c>
      <c r="E4" s="1088"/>
      <c r="F4" s="1088" t="s">
        <v>195</v>
      </c>
      <c r="G4" s="1088"/>
    </row>
    <row r="5" spans="1:7">
      <c r="A5" s="29">
        <v>1</v>
      </c>
      <c r="B5" s="1089" t="s">
        <v>313</v>
      </c>
      <c r="C5" s="1089"/>
      <c r="D5" s="1090">
        <f>+'todruulga-ur tulbur'!D5:E5/1000</f>
        <v>312229.76180000004</v>
      </c>
      <c r="E5" s="1090"/>
      <c r="F5" s="1090">
        <f>+'todruulga-ur tulbur'!F5:G5/1000</f>
        <v>312229.76180000004</v>
      </c>
      <c r="G5" s="1090"/>
    </row>
    <row r="6" spans="1:7">
      <c r="A6" s="29">
        <v>2</v>
      </c>
      <c r="B6" s="1089" t="s">
        <v>314</v>
      </c>
      <c r="C6" s="1089"/>
      <c r="D6" s="1090"/>
      <c r="E6" s="1090"/>
      <c r="F6" s="1090"/>
      <c r="G6" s="1090"/>
    </row>
    <row r="7" spans="1:7">
      <c r="A7" s="1088" t="s">
        <v>309</v>
      </c>
      <c r="B7" s="1088"/>
      <c r="C7" s="1088"/>
      <c r="D7" s="1091">
        <f>SUM(D5:E6)</f>
        <v>312229.76180000004</v>
      </c>
      <c r="E7" s="1091"/>
      <c r="F7" s="1091">
        <f>SUM(F5:G6)</f>
        <v>312229.76180000004</v>
      </c>
      <c r="G7" s="1091"/>
    </row>
    <row r="8" spans="1:7">
      <c r="A8" s="43"/>
      <c r="B8" s="43"/>
      <c r="C8" s="43"/>
      <c r="D8" s="72"/>
      <c r="E8" s="72"/>
      <c r="F8" s="72"/>
      <c r="G8" s="72"/>
    </row>
    <row r="9" spans="1:7" ht="13.8">
      <c r="A9" s="43"/>
      <c r="B9" s="53" t="s">
        <v>315</v>
      </c>
      <c r="C9" s="43"/>
      <c r="D9" s="72"/>
      <c r="E9" s="72"/>
      <c r="F9" s="72"/>
      <c r="G9" s="72"/>
    </row>
    <row r="10" spans="1:7">
      <c r="A10" s="43"/>
      <c r="B10" s="43"/>
      <c r="C10" s="43"/>
      <c r="D10" s="72"/>
      <c r="E10" s="72"/>
      <c r="F10" s="72"/>
      <c r="G10" s="72"/>
    </row>
    <row r="11" spans="1:7">
      <c r="A11" s="35" t="s">
        <v>192</v>
      </c>
      <c r="B11" s="1025" t="s">
        <v>316</v>
      </c>
      <c r="C11" s="1025"/>
      <c r="D11" s="1092" t="s">
        <v>194</v>
      </c>
      <c r="E11" s="1092"/>
      <c r="F11" s="1092" t="s">
        <v>195</v>
      </c>
      <c r="G11" s="1092"/>
    </row>
    <row r="12" spans="1:7">
      <c r="A12" s="29">
        <v>1</v>
      </c>
      <c r="B12" s="1089" t="s">
        <v>317</v>
      </c>
      <c r="C12" s="1089"/>
      <c r="D12" s="1090">
        <f>+'todruulga-ur tulbur'!D12:E12/1000</f>
        <v>508122.53794000001</v>
      </c>
      <c r="E12" s="1090"/>
      <c r="F12" s="1090">
        <f>+'todruulga-ur tulbur'!F12:G12/1000</f>
        <v>1971409.87433</v>
      </c>
      <c r="G12" s="1090"/>
    </row>
    <row r="13" spans="1:7">
      <c r="A13" s="29">
        <v>2</v>
      </c>
      <c r="B13" s="1089" t="s">
        <v>318</v>
      </c>
      <c r="C13" s="1089"/>
      <c r="D13" s="1090">
        <f>+'todruulga-ur tulbur'!D13:E13/1000</f>
        <v>1016573.7569800001</v>
      </c>
      <c r="E13" s="1090"/>
      <c r="F13" s="1090">
        <f>+'todruulga-ur tulbur'!F13:G13/1000</f>
        <v>336781.61009000003</v>
      </c>
      <c r="G13" s="1090"/>
    </row>
    <row r="14" spans="1:7">
      <c r="A14" s="29">
        <v>3</v>
      </c>
      <c r="B14" s="1089" t="s">
        <v>319</v>
      </c>
      <c r="C14" s="1089"/>
      <c r="D14" s="1090">
        <f>+'todruulga-ur tulbur'!D14:E14/1000</f>
        <v>81211.652080000014</v>
      </c>
      <c r="E14" s="1090"/>
      <c r="F14" s="1090">
        <f>+'todruulga-ur tulbur'!F14:G14/1000</f>
        <v>462394.57840000006</v>
      </c>
      <c r="G14" s="1090"/>
    </row>
    <row r="15" spans="1:7">
      <c r="A15" s="29">
        <v>4</v>
      </c>
      <c r="B15" s="1089" t="s">
        <v>320</v>
      </c>
      <c r="C15" s="1089"/>
      <c r="D15" s="1090">
        <f>+'todruulga-ur tulbur'!D15:E15/1000</f>
        <v>0</v>
      </c>
      <c r="E15" s="1090"/>
      <c r="F15" s="1090">
        <f>+'todruulga-ur tulbur'!F15:G15/1000</f>
        <v>0</v>
      </c>
      <c r="G15" s="1090"/>
    </row>
    <row r="16" spans="1:7">
      <c r="A16" s="1088" t="s">
        <v>82</v>
      </c>
      <c r="B16" s="1088"/>
      <c r="C16" s="1088"/>
      <c r="D16" s="1091">
        <f>SUM(D12:E15)</f>
        <v>1605907.9469999999</v>
      </c>
      <c r="E16" s="1091"/>
      <c r="F16" s="1091">
        <f>SUM(F12:G15)</f>
        <v>2770586.0628200001</v>
      </c>
      <c r="G16" s="1091"/>
    </row>
    <row r="17" spans="1:7">
      <c r="A17" s="20"/>
      <c r="B17" s="19"/>
      <c r="C17" s="19"/>
      <c r="D17" s="19"/>
      <c r="E17" s="19"/>
      <c r="F17" s="19"/>
      <c r="G17" s="19"/>
    </row>
    <row r="18" spans="1:7" ht="13.8">
      <c r="A18" s="43"/>
      <c r="B18" s="53" t="s">
        <v>321</v>
      </c>
      <c r="C18" s="43"/>
      <c r="D18" s="43"/>
      <c r="E18" s="43"/>
      <c r="F18" s="43"/>
      <c r="G18" s="43"/>
    </row>
    <row r="19" spans="1:7">
      <c r="A19" s="43"/>
      <c r="B19" s="43"/>
      <c r="C19" s="43"/>
      <c r="D19" s="43"/>
      <c r="E19" s="43"/>
      <c r="F19" s="43"/>
      <c r="G19" s="43"/>
    </row>
    <row r="20" spans="1:7">
      <c r="A20" s="1025" t="s">
        <v>192</v>
      </c>
      <c r="B20" s="1037" t="s">
        <v>5</v>
      </c>
      <c r="C20" s="1037"/>
      <c r="D20" s="1088" t="s">
        <v>194</v>
      </c>
      <c r="E20" s="1088"/>
      <c r="F20" s="1088" t="s">
        <v>195</v>
      </c>
      <c r="G20" s="1088"/>
    </row>
    <row r="21" spans="1:7">
      <c r="A21" s="1025"/>
      <c r="B21" s="1037"/>
      <c r="C21" s="1037"/>
      <c r="D21" s="39" t="s">
        <v>322</v>
      </c>
      <c r="E21" s="39" t="s">
        <v>323</v>
      </c>
      <c r="F21" s="39" t="s">
        <v>322</v>
      </c>
      <c r="G21" s="39" t="s">
        <v>323</v>
      </c>
    </row>
    <row r="22" spans="1:7">
      <c r="A22" s="29">
        <v>1</v>
      </c>
      <c r="B22" s="1089" t="s">
        <v>313</v>
      </c>
      <c r="C22" s="1089"/>
      <c r="D22" s="67">
        <f>+'todruulga-ur tulbur'!D22/1000</f>
        <v>26014975</v>
      </c>
      <c r="E22" s="67">
        <f>+'todruulga-ur tulbur'!E22/1000</f>
        <v>1250</v>
      </c>
      <c r="F22" s="67">
        <f>+'todruulga-ur tulbur'!F22/1000</f>
        <v>40469032.684170008</v>
      </c>
      <c r="G22" s="67">
        <f>+'todruulga-ur tulbur'!G22/1000</f>
        <v>1250</v>
      </c>
    </row>
    <row r="23" spans="1:7">
      <c r="A23" s="1088" t="s">
        <v>309</v>
      </c>
      <c r="B23" s="1088"/>
      <c r="C23" s="1088"/>
      <c r="D23" s="70">
        <f>SUM(D22:D22)</f>
        <v>26014975</v>
      </c>
      <c r="E23" s="70">
        <f>SUM(E22:E22)</f>
        <v>1250</v>
      </c>
      <c r="F23" s="70">
        <f>SUM(F22:F22)</f>
        <v>40469032.684170008</v>
      </c>
      <c r="G23" s="70">
        <f>SUM(G22:G22)</f>
        <v>1250</v>
      </c>
    </row>
    <row r="24" spans="1:7">
      <c r="A24" s="20"/>
      <c r="B24" s="19"/>
      <c r="C24" s="19"/>
      <c r="D24" s="74"/>
      <c r="E24" s="74"/>
      <c r="F24" s="74"/>
      <c r="G24" s="74"/>
    </row>
    <row r="25" spans="1:7" ht="13.8">
      <c r="A25" s="43"/>
      <c r="B25" s="38" t="s">
        <v>324</v>
      </c>
      <c r="C25" s="26"/>
      <c r="D25" s="75"/>
      <c r="E25" s="72"/>
      <c r="F25" s="72"/>
      <c r="G25" s="72"/>
    </row>
    <row r="26" spans="1:7">
      <c r="A26" s="43"/>
      <c r="B26" s="43"/>
      <c r="C26" s="43"/>
      <c r="D26" s="72"/>
      <c r="E26" s="72"/>
      <c r="F26" s="72"/>
      <c r="G26" s="72"/>
    </row>
    <row r="27" spans="1:7" ht="39.6">
      <c r="A27" s="35" t="s">
        <v>192</v>
      </c>
      <c r="B27" s="27" t="s">
        <v>5</v>
      </c>
      <c r="C27" s="27" t="s">
        <v>194</v>
      </c>
      <c r="D27" s="76" t="s">
        <v>206</v>
      </c>
      <c r="E27" s="77" t="s">
        <v>325</v>
      </c>
      <c r="F27" s="77" t="s">
        <v>326</v>
      </c>
      <c r="G27" s="77" t="s">
        <v>195</v>
      </c>
    </row>
    <row r="28" spans="1:7">
      <c r="A28" s="29">
        <v>1</v>
      </c>
      <c r="B28" s="40" t="s">
        <v>327</v>
      </c>
      <c r="C28" s="37"/>
      <c r="D28" s="67"/>
      <c r="E28" s="67"/>
      <c r="F28" s="67"/>
      <c r="G28" s="68">
        <v>0</v>
      </c>
    </row>
    <row r="29" spans="1:7">
      <c r="A29" s="29">
        <v>2</v>
      </c>
      <c r="B29" s="40" t="s">
        <v>328</v>
      </c>
      <c r="C29" s="37"/>
      <c r="D29" s="67"/>
      <c r="E29" s="67"/>
      <c r="F29" s="67"/>
      <c r="G29" s="68">
        <v>0</v>
      </c>
    </row>
    <row r="30" spans="1:7">
      <c r="A30" s="1088" t="s">
        <v>309</v>
      </c>
      <c r="B30" s="1088"/>
      <c r="C30" s="70">
        <v>0</v>
      </c>
      <c r="D30" s="70">
        <v>0</v>
      </c>
      <c r="E30" s="70">
        <v>0</v>
      </c>
      <c r="F30" s="70">
        <v>0</v>
      </c>
      <c r="G30" s="70">
        <v>0</v>
      </c>
    </row>
    <row r="31" spans="1:7">
      <c r="A31" s="20"/>
      <c r="B31" s="54"/>
      <c r="C31" s="55"/>
      <c r="D31" s="55"/>
      <c r="E31" s="55"/>
      <c r="F31" s="55"/>
      <c r="G31" s="55"/>
    </row>
    <row r="32" spans="1:7">
      <c r="A32" s="1093" t="s">
        <v>329</v>
      </c>
      <c r="B32" s="1093"/>
      <c r="C32" s="1093"/>
      <c r="D32" s="1093"/>
      <c r="E32" s="1093"/>
      <c r="F32" s="1093"/>
      <c r="G32" s="1093"/>
    </row>
    <row r="33" spans="1:7">
      <c r="A33" s="24"/>
      <c r="B33" s="24"/>
      <c r="C33" s="24"/>
      <c r="D33" s="24"/>
      <c r="E33" s="24"/>
      <c r="F33" s="24"/>
      <c r="G33" s="24"/>
    </row>
    <row r="34" spans="1:7">
      <c r="A34" s="25"/>
      <c r="B34" s="25"/>
      <c r="C34" s="25"/>
      <c r="D34" s="25"/>
      <c r="E34" s="25"/>
      <c r="F34" s="25"/>
      <c r="G34" s="25"/>
    </row>
    <row r="35" spans="1:7" ht="13.8">
      <c r="A35" s="43"/>
      <c r="B35" s="38" t="s">
        <v>330</v>
      </c>
      <c r="C35" s="26"/>
      <c r="D35" s="26"/>
      <c r="E35" s="26"/>
      <c r="F35" s="43"/>
      <c r="G35" s="43"/>
    </row>
    <row r="36" spans="1:7">
      <c r="A36" s="43"/>
      <c r="B36" s="43"/>
      <c r="C36" s="43"/>
      <c r="D36" s="43"/>
      <c r="E36" s="43"/>
      <c r="F36" s="43"/>
      <c r="G36" s="43"/>
    </row>
    <row r="37" spans="1:7">
      <c r="A37" s="35" t="s">
        <v>192</v>
      </c>
      <c r="B37" s="985" t="s">
        <v>193</v>
      </c>
      <c r="C37" s="987"/>
      <c r="D37" s="1088" t="s">
        <v>194</v>
      </c>
      <c r="E37" s="1088"/>
      <c r="F37" s="1088" t="s">
        <v>195</v>
      </c>
      <c r="G37" s="1088"/>
    </row>
    <row r="38" spans="1:7">
      <c r="A38" s="29">
        <v>1</v>
      </c>
      <c r="B38" s="1089"/>
      <c r="C38" s="1089"/>
      <c r="D38" s="1090">
        <f>+balance!C44/1000</f>
        <v>12502986.772503076</v>
      </c>
      <c r="E38" s="1090"/>
      <c r="F38" s="1090">
        <f>+balance!D44/1000</f>
        <v>2067985.792632438</v>
      </c>
      <c r="G38" s="1090"/>
    </row>
    <row r="39" spans="1:7">
      <c r="A39" s="1088" t="s">
        <v>309</v>
      </c>
      <c r="B39" s="1088"/>
      <c r="C39" s="1088"/>
      <c r="D39" s="1091">
        <f>SUM(D38)</f>
        <v>12502986.772503076</v>
      </c>
      <c r="E39" s="1091"/>
      <c r="F39" s="1091">
        <f>SUM(F38)</f>
        <v>2067985.792632438</v>
      </c>
      <c r="G39" s="1091"/>
    </row>
    <row r="40" spans="1:7">
      <c r="A40" s="20"/>
      <c r="B40" s="19" t="s">
        <v>331</v>
      </c>
      <c r="C40" s="19"/>
      <c r="D40" s="74"/>
      <c r="E40" s="74"/>
      <c r="F40" s="74"/>
      <c r="G40" s="74"/>
    </row>
    <row r="41" spans="1:7" ht="23.25" customHeight="1">
      <c r="A41" s="1094"/>
      <c r="B41" s="1094"/>
      <c r="C41" s="1094"/>
      <c r="D41" s="1094"/>
      <c r="E41" s="1094"/>
      <c r="F41" s="1094"/>
      <c r="G41" s="1094"/>
    </row>
    <row r="42" spans="1:7">
      <c r="A42" s="43"/>
      <c r="B42" s="43"/>
      <c r="C42" s="43"/>
      <c r="D42" s="72"/>
      <c r="E42" s="72"/>
      <c r="F42" s="72"/>
      <c r="G42" s="72"/>
    </row>
    <row r="43" spans="1:7" ht="13.8">
      <c r="A43" s="43"/>
      <c r="B43" s="38" t="s">
        <v>332</v>
      </c>
      <c r="C43" s="26"/>
      <c r="D43" s="75"/>
      <c r="E43" s="75"/>
      <c r="F43" s="75"/>
      <c r="G43" s="72"/>
    </row>
    <row r="44" spans="1:7">
      <c r="A44" s="43"/>
      <c r="B44" s="43"/>
      <c r="C44" s="43"/>
      <c r="D44" s="72"/>
      <c r="E44" s="72"/>
      <c r="F44" s="72"/>
      <c r="G44" s="72"/>
    </row>
    <row r="45" spans="1:7">
      <c r="A45" s="1025" t="s">
        <v>192</v>
      </c>
      <c r="B45" s="1037" t="s">
        <v>193</v>
      </c>
      <c r="C45" s="1037"/>
      <c r="D45" s="1092" t="s">
        <v>194</v>
      </c>
      <c r="E45" s="1092"/>
      <c r="F45" s="1092" t="s">
        <v>195</v>
      </c>
      <c r="G45" s="1092"/>
    </row>
    <row r="46" spans="1:7">
      <c r="A46" s="1025"/>
      <c r="B46" s="1037"/>
      <c r="C46" s="1037"/>
      <c r="D46" s="73" t="s">
        <v>322</v>
      </c>
      <c r="E46" s="73" t="s">
        <v>323</v>
      </c>
      <c r="F46" s="73" t="s">
        <v>322</v>
      </c>
      <c r="G46" s="73" t="s">
        <v>323</v>
      </c>
    </row>
    <row r="47" spans="1:7">
      <c r="A47" s="29">
        <v>1</v>
      </c>
      <c r="B47" s="1089" t="s">
        <v>333</v>
      </c>
      <c r="C47" s="1089"/>
      <c r="D47" s="67">
        <f>+'todruulga-ur tulbur'!D47/1000</f>
        <v>23880000</v>
      </c>
      <c r="E47" s="67">
        <f>+'todruulga-ur tulbur'!E47/1000</f>
        <v>0</v>
      </c>
      <c r="F47" s="67">
        <f>+'todruulga-ur tulbur'!F47/1000</f>
        <v>30202780</v>
      </c>
      <c r="G47" s="67">
        <f>+'todruulga-ur tulbur'!G47/1000</f>
        <v>0</v>
      </c>
    </row>
    <row r="48" spans="1:7">
      <c r="A48" s="29"/>
      <c r="B48" s="1089" t="s">
        <v>334</v>
      </c>
      <c r="C48" s="1089"/>
      <c r="D48" s="67">
        <f>+'todruulga-ur tulbur'!D48/1000</f>
        <v>0</v>
      </c>
      <c r="E48" s="67">
        <f>+'todruulga-ur tulbur'!E48/1000</f>
        <v>0</v>
      </c>
      <c r="F48" s="67">
        <f>+'todruulga-ur tulbur'!F48/1000</f>
        <v>0</v>
      </c>
      <c r="G48" s="67">
        <f>+'todruulga-ur tulbur'!G48/1000</f>
        <v>0</v>
      </c>
    </row>
    <row r="49" spans="1:9">
      <c r="A49" s="29"/>
      <c r="B49" s="1089" t="s">
        <v>335</v>
      </c>
      <c r="C49" s="1089"/>
      <c r="D49" s="67">
        <f>+'todruulga-ur tulbur'!D49/1000</f>
        <v>0</v>
      </c>
      <c r="E49" s="67">
        <f>+'todruulga-ur tulbur'!E49/1000</f>
        <v>0</v>
      </c>
      <c r="F49" s="67">
        <f>+'todruulga-ur tulbur'!F49/1000</f>
        <v>0</v>
      </c>
      <c r="G49" s="67">
        <f>+'todruulga-ur tulbur'!G49/1000</f>
        <v>0</v>
      </c>
    </row>
    <row r="50" spans="1:9">
      <c r="A50" s="29"/>
      <c r="B50" s="1089" t="s">
        <v>336</v>
      </c>
      <c r="C50" s="1089"/>
      <c r="D50" s="67">
        <f>+'todruulga-ur tulbur'!D50/1000</f>
        <v>23880000</v>
      </c>
      <c r="E50" s="67">
        <f>+'todruulga-ur tulbur'!E50/1000</f>
        <v>0</v>
      </c>
      <c r="F50" s="67">
        <f>+'todruulga-ur tulbur'!F50/1000</f>
        <v>30202780</v>
      </c>
      <c r="G50" s="67">
        <f>+'todruulga-ur tulbur'!G50/1000</f>
        <v>0</v>
      </c>
    </row>
    <row r="51" spans="1:9">
      <c r="A51" s="29">
        <v>2</v>
      </c>
      <c r="B51" s="1089" t="s">
        <v>337</v>
      </c>
      <c r="C51" s="1089"/>
      <c r="D51" s="67">
        <v>0</v>
      </c>
      <c r="E51" s="67">
        <v>0</v>
      </c>
      <c r="F51" s="67">
        <v>0</v>
      </c>
      <c r="G51" s="67">
        <v>0</v>
      </c>
    </row>
    <row r="52" spans="1:9">
      <c r="A52" s="1025" t="s">
        <v>338</v>
      </c>
      <c r="B52" s="1025"/>
      <c r="C52" s="1025"/>
      <c r="D52" s="70">
        <f>+D51+D47</f>
        <v>23880000</v>
      </c>
      <c r="E52" s="70">
        <f>+E51+E47</f>
        <v>0</v>
      </c>
      <c r="F52" s="70">
        <f>+F51+F47</f>
        <v>30202780</v>
      </c>
      <c r="G52" s="70">
        <f>+G51+G47</f>
        <v>0</v>
      </c>
    </row>
    <row r="53" spans="1:9">
      <c r="A53" s="26"/>
      <c r="B53" s="26"/>
      <c r="C53" s="26"/>
      <c r="D53" s="26"/>
      <c r="E53" s="26"/>
      <c r="F53" s="26"/>
      <c r="G53" s="26"/>
    </row>
    <row r="54" spans="1:9">
      <c r="A54" s="1093" t="s">
        <v>339</v>
      </c>
      <c r="B54" s="1093"/>
      <c r="C54" s="1093"/>
      <c r="D54" s="1093"/>
      <c r="E54" s="1093"/>
      <c r="F54" s="1093"/>
      <c r="G54" s="1093"/>
    </row>
    <row r="55" spans="1:9" ht="26.25" customHeight="1">
      <c r="A55" s="1101" t="s">
        <v>1037</v>
      </c>
      <c r="B55" s="1101"/>
      <c r="C55" s="1101"/>
      <c r="D55" s="1101"/>
      <c r="E55" s="1101"/>
      <c r="F55" s="1101"/>
      <c r="G55" s="1101"/>
      <c r="I55" s="245">
        <f>+F52+F23+F16+F7+F39</f>
        <v>75822614.301422447</v>
      </c>
    </row>
    <row r="56" spans="1:9">
      <c r="A56" s="26"/>
      <c r="B56" s="26"/>
      <c r="C56" s="26"/>
      <c r="D56" s="26"/>
      <c r="E56" s="26"/>
      <c r="F56" s="26"/>
      <c r="G56" s="26"/>
      <c r="I56" s="245">
        <f>+'BL mn'!N160/1000</f>
        <v>78475618.744279996</v>
      </c>
    </row>
    <row r="57" spans="1:9">
      <c r="A57" s="21" t="s">
        <v>340</v>
      </c>
      <c r="B57" s="22"/>
      <c r="C57" s="22"/>
      <c r="D57" s="22"/>
      <c r="E57" s="22"/>
      <c r="F57" s="22"/>
      <c r="G57" s="22"/>
      <c r="I57" s="245">
        <f>+I56-I55</f>
        <v>2653004.4428575486</v>
      </c>
    </row>
    <row r="58" spans="1:9">
      <c r="A58" s="43"/>
      <c r="B58" s="43"/>
      <c r="C58" s="43"/>
      <c r="D58" s="43"/>
      <c r="E58" s="43"/>
      <c r="F58" s="43"/>
      <c r="G58" s="43"/>
    </row>
    <row r="59" spans="1:9" ht="13.8">
      <c r="A59" s="43"/>
      <c r="B59" s="38" t="s">
        <v>341</v>
      </c>
      <c r="C59" s="41"/>
      <c r="D59" s="41"/>
      <c r="E59" s="43"/>
      <c r="F59" s="43"/>
      <c r="G59" s="43"/>
    </row>
    <row r="60" spans="1:9">
      <c r="A60" s="43"/>
      <c r="B60" s="43"/>
      <c r="C60" s="43"/>
      <c r="D60" s="43"/>
      <c r="E60" s="43"/>
      <c r="F60" s="43"/>
      <c r="G60" s="43"/>
    </row>
    <row r="61" spans="1:9">
      <c r="A61" s="1025" t="s">
        <v>192</v>
      </c>
      <c r="B61" s="1037" t="s">
        <v>5</v>
      </c>
      <c r="C61" s="1037" t="s">
        <v>342</v>
      </c>
      <c r="D61" s="1037"/>
      <c r="E61" s="1037" t="s">
        <v>343</v>
      </c>
      <c r="F61" s="1037"/>
      <c r="G61" s="1037" t="s">
        <v>344</v>
      </c>
    </row>
    <row r="62" spans="1:9">
      <c r="A62" s="1025"/>
      <c r="B62" s="1037"/>
      <c r="C62" s="27" t="s">
        <v>345</v>
      </c>
      <c r="D62" s="27" t="s">
        <v>346</v>
      </c>
      <c r="E62" s="27" t="s">
        <v>345</v>
      </c>
      <c r="F62" s="27" t="s">
        <v>346</v>
      </c>
      <c r="G62" s="1037"/>
    </row>
    <row r="63" spans="1:9">
      <c r="A63" s="29">
        <v>1</v>
      </c>
      <c r="B63" s="48" t="s">
        <v>194</v>
      </c>
      <c r="C63" s="67">
        <f>+'todruulga-ur tulbur'!C63/1000</f>
        <v>7801.125</v>
      </c>
      <c r="D63" s="67">
        <f>+'todruulga-ur tulbur'!D63/1000</f>
        <v>780112.5</v>
      </c>
      <c r="E63" s="67"/>
      <c r="F63" s="67"/>
      <c r="G63" s="67">
        <f>+D63+F63</f>
        <v>780112.5</v>
      </c>
    </row>
    <row r="64" spans="1:9">
      <c r="A64" s="29">
        <v>2</v>
      </c>
      <c r="B64" s="48" t="s">
        <v>347</v>
      </c>
      <c r="C64" s="67"/>
      <c r="D64" s="67"/>
      <c r="E64" s="67"/>
      <c r="F64" s="67"/>
      <c r="G64" s="67">
        <f>+D64+F64</f>
        <v>0</v>
      </c>
    </row>
    <row r="65" spans="1:7">
      <c r="A65" s="29">
        <v>3</v>
      </c>
      <c r="B65" s="48" t="s">
        <v>207</v>
      </c>
      <c r="C65" s="67"/>
      <c r="D65" s="67"/>
      <c r="E65" s="67"/>
      <c r="F65" s="67"/>
      <c r="G65" s="67">
        <f>+D65+F65</f>
        <v>0</v>
      </c>
    </row>
    <row r="66" spans="1:7">
      <c r="A66" s="1096" t="s">
        <v>195</v>
      </c>
      <c r="B66" s="1097"/>
      <c r="C66" s="70">
        <f>SUM(C63:C65)</f>
        <v>7801.125</v>
      </c>
      <c r="D66" s="70">
        <f>SUM(D63:D65)</f>
        <v>780112.5</v>
      </c>
      <c r="E66" s="70">
        <v>0</v>
      </c>
      <c r="F66" s="70">
        <v>0</v>
      </c>
      <c r="G66" s="70">
        <f>SUM(G63:G65)</f>
        <v>780112.5</v>
      </c>
    </row>
    <row r="67" spans="1:7">
      <c r="A67" s="20"/>
      <c r="B67" s="54"/>
      <c r="C67" s="78"/>
      <c r="D67" s="78"/>
      <c r="E67" s="78"/>
      <c r="F67" s="78"/>
      <c r="G67" s="78"/>
    </row>
    <row r="68" spans="1:7" ht="13.8">
      <c r="A68" s="20"/>
      <c r="B68" s="56" t="s">
        <v>348</v>
      </c>
      <c r="C68" s="74"/>
      <c r="D68" s="74"/>
      <c r="E68" s="74"/>
      <c r="F68" s="74"/>
      <c r="G68" s="74"/>
    </row>
    <row r="69" spans="1:7">
      <c r="A69" s="20"/>
      <c r="B69" s="19"/>
      <c r="C69" s="74"/>
      <c r="D69" s="74"/>
      <c r="E69" s="74"/>
      <c r="F69" s="74"/>
      <c r="G69" s="74"/>
    </row>
    <row r="70" spans="1:7">
      <c r="A70" s="27" t="s">
        <v>192</v>
      </c>
      <c r="B70" s="27" t="s">
        <v>5</v>
      </c>
      <c r="C70" s="1008" t="s">
        <v>349</v>
      </c>
      <c r="D70" s="1008"/>
      <c r="E70" s="1008" t="s">
        <v>350</v>
      </c>
      <c r="F70" s="1008"/>
      <c r="G70" s="76" t="s">
        <v>82</v>
      </c>
    </row>
    <row r="71" spans="1:7">
      <c r="A71" s="35">
        <v>1</v>
      </c>
      <c r="B71" s="57" t="s">
        <v>194</v>
      </c>
      <c r="C71" s="1090">
        <f>+'todruulga-ur tulbur'!C71:D71/1000</f>
        <v>14849519.33343</v>
      </c>
      <c r="D71" s="1090"/>
      <c r="E71" s="1095"/>
      <c r="F71" s="1095"/>
      <c r="G71" s="67">
        <f>+C71+E71</f>
        <v>14849519.33343</v>
      </c>
    </row>
    <row r="72" spans="1:7">
      <c r="A72" s="35">
        <v>2</v>
      </c>
      <c r="B72" s="57" t="s">
        <v>256</v>
      </c>
      <c r="C72" s="1090">
        <f>+'todruulga-ur tulbur'!C72:D72/1000</f>
        <v>0</v>
      </c>
      <c r="D72" s="1090"/>
      <c r="E72" s="1095"/>
      <c r="F72" s="1095"/>
      <c r="G72" s="67">
        <f t="shared" ref="G72:G79" si="0">+C72+E72</f>
        <v>0</v>
      </c>
    </row>
    <row r="73" spans="1:7">
      <c r="A73" s="58"/>
      <c r="B73" s="40" t="s">
        <v>351</v>
      </c>
      <c r="C73" s="1090">
        <f>+'todruulga-ur tulbur'!C73:D73/1000</f>
        <v>-4301861</v>
      </c>
      <c r="D73" s="1090"/>
      <c r="E73" s="1095"/>
      <c r="F73" s="1095"/>
      <c r="G73" s="67">
        <f t="shared" si="0"/>
        <v>-4301861</v>
      </c>
    </row>
    <row r="74" spans="1:7" ht="36" customHeight="1">
      <c r="A74" s="58"/>
      <c r="B74" s="59" t="s">
        <v>352</v>
      </c>
      <c r="C74" s="1090">
        <f>+'todruulga-ur tulbur'!C74:D74/1000</f>
        <v>0</v>
      </c>
      <c r="D74" s="1090"/>
      <c r="E74" s="1095"/>
      <c r="F74" s="1095"/>
      <c r="G74" s="67">
        <f t="shared" si="0"/>
        <v>0</v>
      </c>
    </row>
    <row r="75" spans="1:7">
      <c r="A75" s="35">
        <v>3</v>
      </c>
      <c r="B75" s="57" t="s">
        <v>353</v>
      </c>
      <c r="C75" s="1090">
        <f>+'todruulga-ur tulbur'!C75:D75/1000</f>
        <v>0</v>
      </c>
      <c r="D75" s="1090"/>
      <c r="E75" s="1095"/>
      <c r="F75" s="1095"/>
      <c r="G75" s="67">
        <f t="shared" si="0"/>
        <v>0</v>
      </c>
    </row>
    <row r="76" spans="1:7">
      <c r="A76" s="29"/>
      <c r="B76" s="40" t="s">
        <v>351</v>
      </c>
      <c r="C76" s="1090">
        <f>+'todruulga-ur tulbur'!C76:D76/1000</f>
        <v>0</v>
      </c>
      <c r="D76" s="1090"/>
      <c r="E76" s="1095"/>
      <c r="F76" s="1095"/>
      <c r="G76" s="67">
        <f t="shared" si="0"/>
        <v>0</v>
      </c>
    </row>
    <row r="77" spans="1:7" ht="29.25" customHeight="1">
      <c r="A77" s="29"/>
      <c r="B77" s="59" t="s">
        <v>88</v>
      </c>
      <c r="C77" s="1090">
        <f>+'todruulga-ur tulbur'!C77:D77/1000</f>
        <v>0</v>
      </c>
      <c r="D77" s="1090"/>
      <c r="E77" s="1095"/>
      <c r="F77" s="1095"/>
      <c r="G77" s="67">
        <f t="shared" si="0"/>
        <v>0</v>
      </c>
    </row>
    <row r="78" spans="1:7" ht="26.4">
      <c r="A78" s="29"/>
      <c r="B78" s="59" t="s">
        <v>354</v>
      </c>
      <c r="C78" s="1090">
        <f>+'todruulga-ur tulbur'!C78:D78/1000</f>
        <v>0</v>
      </c>
      <c r="D78" s="1090"/>
      <c r="E78" s="1095"/>
      <c r="F78" s="1095"/>
      <c r="G78" s="67">
        <f t="shared" si="0"/>
        <v>0</v>
      </c>
    </row>
    <row r="79" spans="1:7">
      <c r="A79" s="1096" t="s">
        <v>195</v>
      </c>
      <c r="B79" s="1097"/>
      <c r="C79" s="1090">
        <f>+'todruulga-ur tulbur'!C79:D79/1000</f>
        <v>10547658.33343</v>
      </c>
      <c r="D79" s="1090"/>
      <c r="E79" s="1091">
        <v>0</v>
      </c>
      <c r="F79" s="1091"/>
      <c r="G79" s="67">
        <f t="shared" si="0"/>
        <v>10547658.33343</v>
      </c>
    </row>
    <row r="80" spans="1:7">
      <c r="A80" s="1098" t="s">
        <v>355</v>
      </c>
      <c r="B80" s="1098"/>
      <c r="C80" s="1098"/>
      <c r="D80" s="1098"/>
      <c r="E80" s="1098"/>
      <c r="F80" s="1098"/>
      <c r="G80" s="1098"/>
    </row>
    <row r="81" spans="1:7">
      <c r="A81" s="60"/>
      <c r="B81" s="61"/>
      <c r="C81" s="61"/>
      <c r="D81" s="61"/>
      <c r="E81" s="61"/>
      <c r="F81" s="61"/>
      <c r="G81" s="61"/>
    </row>
    <row r="82" spans="1:7">
      <c r="A82" s="1099" t="s">
        <v>356</v>
      </c>
      <c r="B82" s="1099"/>
      <c r="C82" s="1099"/>
      <c r="D82" s="1099"/>
      <c r="E82" s="1099"/>
      <c r="F82" s="1099"/>
      <c r="G82" s="1099"/>
    </row>
    <row r="83" spans="1:7">
      <c r="A83" s="20"/>
      <c r="B83" s="20"/>
      <c r="C83" s="20"/>
      <c r="D83" s="20"/>
      <c r="E83" s="20"/>
      <c r="F83" s="20"/>
      <c r="G83" s="20"/>
    </row>
    <row r="84" spans="1:7" ht="13.8">
      <c r="A84" s="20"/>
      <c r="B84" s="56" t="s">
        <v>357</v>
      </c>
      <c r="C84" s="19"/>
      <c r="D84" s="19"/>
      <c r="E84" s="19"/>
      <c r="F84" s="19"/>
      <c r="G84" s="19"/>
    </row>
    <row r="85" spans="1:7">
      <c r="A85" s="20"/>
      <c r="B85" s="19"/>
      <c r="C85" s="19"/>
      <c r="D85" s="19"/>
      <c r="E85" s="19"/>
      <c r="F85" s="19"/>
      <c r="G85" s="19"/>
    </row>
    <row r="86" spans="1:7" ht="26.4">
      <c r="A86" s="27" t="s">
        <v>79</v>
      </c>
      <c r="B86" s="27" t="s">
        <v>5</v>
      </c>
      <c r="C86" s="1037" t="s">
        <v>194</v>
      </c>
      <c r="D86" s="1037"/>
      <c r="E86" s="27" t="s">
        <v>206</v>
      </c>
      <c r="F86" s="27" t="s">
        <v>358</v>
      </c>
      <c r="G86" s="27" t="s">
        <v>195</v>
      </c>
    </row>
    <row r="87" spans="1:7" ht="26.4">
      <c r="A87" s="29">
        <v>1</v>
      </c>
      <c r="B87" s="62" t="s">
        <v>359</v>
      </c>
      <c r="C87" s="1100"/>
      <c r="D87" s="1100"/>
      <c r="E87" s="79"/>
      <c r="F87" s="79"/>
      <c r="G87" s="69"/>
    </row>
    <row r="88" spans="1:7" ht="39.6">
      <c r="A88" s="29">
        <v>2</v>
      </c>
      <c r="B88" s="59" t="s">
        <v>360</v>
      </c>
      <c r="C88" s="1100"/>
      <c r="D88" s="1100"/>
      <c r="E88" s="79"/>
      <c r="F88" s="79"/>
      <c r="G88" s="69"/>
    </row>
    <row r="89" spans="1:7">
      <c r="A89" s="29">
        <v>3</v>
      </c>
      <c r="B89" s="40" t="s">
        <v>231</v>
      </c>
      <c r="C89" s="1100"/>
      <c r="D89" s="1100"/>
      <c r="E89" s="79"/>
      <c r="F89" s="79"/>
      <c r="G89" s="69"/>
    </row>
    <row r="90" spans="1:7">
      <c r="A90" s="1088" t="s">
        <v>82</v>
      </c>
      <c r="B90" s="1088"/>
      <c r="C90" s="1091">
        <v>0</v>
      </c>
      <c r="D90" s="1091"/>
      <c r="E90" s="68">
        <v>0</v>
      </c>
      <c r="F90" s="68">
        <v>0</v>
      </c>
      <c r="G90" s="68">
        <v>0</v>
      </c>
    </row>
    <row r="91" spans="1:7">
      <c r="A91" s="20"/>
      <c r="B91" s="41"/>
      <c r="C91" s="54"/>
      <c r="D91" s="54"/>
      <c r="E91" s="19"/>
      <c r="F91" s="19"/>
      <c r="G91" s="54"/>
    </row>
    <row r="92" spans="1:7" ht="13.8">
      <c r="A92" s="20"/>
      <c r="B92" s="38" t="s">
        <v>361</v>
      </c>
      <c r="C92" s="26"/>
      <c r="D92" s="26"/>
      <c r="E92" s="19"/>
      <c r="F92" s="19"/>
      <c r="G92" s="54"/>
    </row>
    <row r="93" spans="1:7">
      <c r="A93" s="20"/>
      <c r="B93" s="19"/>
      <c r="C93" s="19"/>
      <c r="D93" s="19"/>
      <c r="E93" s="19"/>
      <c r="F93" s="19"/>
      <c r="G93" s="19"/>
    </row>
    <row r="94" spans="1:7">
      <c r="A94" s="1023" t="s">
        <v>362</v>
      </c>
      <c r="B94" s="1023"/>
      <c r="C94" s="1023"/>
      <c r="D94" s="1023"/>
      <c r="E94" s="1023"/>
      <c r="F94" s="1023"/>
      <c r="G94" s="1023"/>
    </row>
    <row r="95" spans="1:7">
      <c r="A95" s="1023"/>
      <c r="B95" s="1023"/>
      <c r="C95" s="1023"/>
      <c r="D95" s="1023"/>
      <c r="E95" s="1023"/>
      <c r="F95" s="1023"/>
      <c r="G95" s="1023"/>
    </row>
    <row r="96" spans="1:7">
      <c r="A96" s="23"/>
      <c r="B96" s="23"/>
      <c r="C96" s="23"/>
      <c r="D96" s="23"/>
      <c r="E96" s="23"/>
      <c r="F96" s="23"/>
      <c r="G96" s="23"/>
    </row>
    <row r="97" spans="1:7">
      <c r="A97" s="63"/>
      <c r="B97" s="63" t="str">
        <f>+'todruulga-ur tulbur'!B97</f>
        <v>2015 онд 2014 оны ашгаас нэгж хувьцаанд 140 төгрөгийн ногдол ашиг нийт 1 092 157 500 төгрөг тараасан.</v>
      </c>
      <c r="C97" s="63"/>
      <c r="D97" s="63"/>
      <c r="E97" s="63"/>
      <c r="F97" s="63"/>
      <c r="G97" s="63"/>
    </row>
    <row r="98" spans="1:7">
      <c r="A98" s="63"/>
      <c r="B98" s="63"/>
      <c r="C98" s="63"/>
      <c r="D98" s="63"/>
      <c r="E98" s="63"/>
      <c r="F98" s="63"/>
      <c r="G98" s="63"/>
    </row>
    <row r="99" spans="1:7">
      <c r="A99" s="63"/>
      <c r="B99" s="63"/>
      <c r="C99" s="63"/>
      <c r="D99" s="63"/>
      <c r="E99" s="63"/>
      <c r="F99" s="63"/>
      <c r="G99" s="63"/>
    </row>
    <row r="100" spans="1:7">
      <c r="A100" s="63"/>
      <c r="B100" s="63"/>
      <c r="C100" s="63"/>
      <c r="D100" s="63"/>
      <c r="E100" s="63"/>
      <c r="F100" s="63"/>
      <c r="G100" s="63"/>
    </row>
  </sheetData>
  <mergeCells count="96">
    <mergeCell ref="A94:G95"/>
    <mergeCell ref="A79:B79"/>
    <mergeCell ref="C79:D79"/>
    <mergeCell ref="E79:F79"/>
    <mergeCell ref="A80:G80"/>
    <mergeCell ref="A82:G82"/>
    <mergeCell ref="C86:D86"/>
    <mergeCell ref="C87:D87"/>
    <mergeCell ref="C88:D88"/>
    <mergeCell ref="C89:D89"/>
    <mergeCell ref="A90:B90"/>
    <mergeCell ref="C90:D90"/>
    <mergeCell ref="C76:D76"/>
    <mergeCell ref="E76:F76"/>
    <mergeCell ref="C77:D77"/>
    <mergeCell ref="E77:F77"/>
    <mergeCell ref="C78:D78"/>
    <mergeCell ref="E78:F78"/>
    <mergeCell ref="C73:D73"/>
    <mergeCell ref="E73:F73"/>
    <mergeCell ref="C74:D74"/>
    <mergeCell ref="E74:F74"/>
    <mergeCell ref="C75:D75"/>
    <mergeCell ref="E75:F75"/>
    <mergeCell ref="C72:D72"/>
    <mergeCell ref="E72:F72"/>
    <mergeCell ref="A54:G54"/>
    <mergeCell ref="A55:G55"/>
    <mergeCell ref="A61:A62"/>
    <mergeCell ref="B61:B62"/>
    <mergeCell ref="C61:D61"/>
    <mergeCell ref="E61:F61"/>
    <mergeCell ref="G61:G62"/>
    <mergeCell ref="A66:B66"/>
    <mergeCell ref="C70:D70"/>
    <mergeCell ref="E70:F70"/>
    <mergeCell ref="C71:D71"/>
    <mergeCell ref="E71:F71"/>
    <mergeCell ref="A52:C52"/>
    <mergeCell ref="A39:C39"/>
    <mergeCell ref="D39:E39"/>
    <mergeCell ref="F39:G39"/>
    <mergeCell ref="A41:G41"/>
    <mergeCell ref="A45:A46"/>
    <mergeCell ref="B45:C46"/>
    <mergeCell ref="D45:E45"/>
    <mergeCell ref="F45:G45"/>
    <mergeCell ref="B47:C47"/>
    <mergeCell ref="B48:C48"/>
    <mergeCell ref="B49:C49"/>
    <mergeCell ref="B50:C50"/>
    <mergeCell ref="B51:C51"/>
    <mergeCell ref="B38:C38"/>
    <mergeCell ref="D38:E38"/>
    <mergeCell ref="F38:G38"/>
    <mergeCell ref="A20:A21"/>
    <mergeCell ref="B20:C21"/>
    <mergeCell ref="D20:E20"/>
    <mergeCell ref="F20:G20"/>
    <mergeCell ref="B22:C22"/>
    <mergeCell ref="A23:C23"/>
    <mergeCell ref="A30:B30"/>
    <mergeCell ref="A32:G32"/>
    <mergeCell ref="B37:C37"/>
    <mergeCell ref="D37:E37"/>
    <mergeCell ref="F37:G37"/>
    <mergeCell ref="B15:C15"/>
    <mergeCell ref="D15:E15"/>
    <mergeCell ref="F15:G15"/>
    <mergeCell ref="A16:C16"/>
    <mergeCell ref="D16:E16"/>
    <mergeCell ref="F16:G16"/>
    <mergeCell ref="B13:C13"/>
    <mergeCell ref="D13:E13"/>
    <mergeCell ref="F13:G13"/>
    <mergeCell ref="B14:C14"/>
    <mergeCell ref="D14:E14"/>
    <mergeCell ref="F14:G14"/>
    <mergeCell ref="B11:C11"/>
    <mergeCell ref="D11:E11"/>
    <mergeCell ref="F11:G11"/>
    <mergeCell ref="B12:C12"/>
    <mergeCell ref="D12:E12"/>
    <mergeCell ref="F12:G12"/>
    <mergeCell ref="B6:C6"/>
    <mergeCell ref="D6:E6"/>
    <mergeCell ref="F6:G6"/>
    <mergeCell ref="A7:C7"/>
    <mergeCell ref="D7:E7"/>
    <mergeCell ref="F7:G7"/>
    <mergeCell ref="B4:C4"/>
    <mergeCell ref="D4:E4"/>
    <mergeCell ref="F4:G4"/>
    <mergeCell ref="B5:C5"/>
    <mergeCell ref="D5:E5"/>
    <mergeCell ref="F5:G5"/>
  </mergeCells>
  <printOptions horizontalCentered="1"/>
  <pageMargins left="0.44" right="0.16" top="0.32" bottom="0.21" header="0.3" footer="0.16"/>
  <pageSetup paperSize="9" scale="90" fitToHeight="0" orientation="portrait" verticalDpi="0"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Z265"/>
  <sheetViews>
    <sheetView topLeftCell="A3" workbookViewId="0">
      <pane xSplit="2" ySplit="8" topLeftCell="K17" activePane="bottomRight" state="frozen"/>
      <selection activeCell="G43" activeCellId="1" sqref="B5:C5 G43"/>
      <selection pane="topRight" activeCell="G43" activeCellId="1" sqref="B5:C5 G43"/>
      <selection pane="bottomLeft" activeCell="G43" activeCellId="1" sqref="B5:C5 G43"/>
      <selection pane="bottomRight" activeCell="G43" activeCellId="1" sqref="B5:C5 G43"/>
    </sheetView>
  </sheetViews>
  <sheetFormatPr defaultColWidth="9.109375" defaultRowHeight="13.2" outlineLevelCol="1"/>
  <cols>
    <col min="1" max="1" width="2.33203125" style="590" customWidth="1" outlineLevel="1"/>
    <col min="2" max="2" width="49.33203125" style="620" customWidth="1"/>
    <col min="3" max="3" width="15.5546875" style="762" hidden="1" customWidth="1" outlineLevel="1"/>
    <col min="4" max="6" width="14.88671875" style="762" hidden="1" customWidth="1" outlineLevel="1"/>
    <col min="7" max="7" width="14.5546875" style="762" hidden="1" customWidth="1" outlineLevel="1"/>
    <col min="8" max="8" width="15.5546875" style="762" hidden="1" customWidth="1" outlineLevel="1"/>
    <col min="9" max="9" width="15.109375" style="762" hidden="1" customWidth="1" outlineLevel="1"/>
    <col min="10" max="10" width="16" style="762" hidden="1" customWidth="1" outlineLevel="1"/>
    <col min="11" max="11" width="14.88671875" style="762" hidden="1" customWidth="1" outlineLevel="1"/>
    <col min="12" max="12" width="15.5546875" style="762" hidden="1" customWidth="1" outlineLevel="1"/>
    <col min="13" max="13" width="16" style="762" customWidth="1" collapsed="1"/>
    <col min="14" max="14" width="16" style="762" bestFit="1" customWidth="1"/>
    <col min="15" max="15" width="16.5546875" style="762" bestFit="1" customWidth="1" collapsed="1"/>
    <col min="16" max="20" width="16.44140625" style="762" hidden="1" customWidth="1"/>
    <col min="21" max="21" width="16.44140625" style="595" hidden="1" customWidth="1"/>
    <col min="22" max="22" width="17.6640625" style="595" hidden="1" customWidth="1"/>
    <col min="23" max="23" width="0" style="595" hidden="1" customWidth="1"/>
    <col min="24" max="24" width="16.5546875" style="595" hidden="1" customWidth="1"/>
    <col min="25" max="25" width="17.6640625" style="595" hidden="1" customWidth="1"/>
    <col min="26" max="26" width="19.5546875" style="596" bestFit="1" customWidth="1"/>
    <col min="27" max="16384" width="9.109375" style="596"/>
  </cols>
  <sheetData>
    <row r="1" spans="1:26" ht="17.399999999999999">
      <c r="B1" s="591"/>
      <c r="C1" s="592"/>
      <c r="D1" s="593"/>
      <c r="E1" s="593"/>
      <c r="F1" s="593"/>
      <c r="G1" s="593"/>
      <c r="H1" s="593"/>
      <c r="I1" s="593"/>
      <c r="J1" s="593"/>
      <c r="K1" s="593"/>
      <c r="L1" s="593"/>
      <c r="M1" s="593"/>
      <c r="N1" s="593"/>
      <c r="O1" s="593"/>
      <c r="P1" s="593"/>
      <c r="Q1" s="593"/>
      <c r="R1" s="593"/>
      <c r="S1" s="593"/>
      <c r="T1" s="593"/>
      <c r="U1" s="594"/>
    </row>
    <row r="2" spans="1:26" s="603" customFormat="1">
      <c r="A2" s="597"/>
      <c r="B2" s="598"/>
      <c r="C2" s="599"/>
      <c r="D2" s="599"/>
      <c r="E2" s="599"/>
      <c r="F2" s="599"/>
      <c r="G2" s="599"/>
      <c r="H2" s="599"/>
      <c r="I2" s="599"/>
      <c r="J2" s="599"/>
      <c r="K2" s="599"/>
      <c r="L2" s="599"/>
      <c r="M2" s="599"/>
      <c r="N2" s="599"/>
      <c r="O2" s="599"/>
      <c r="P2" s="600"/>
      <c r="Q2" s="600"/>
      <c r="R2" s="600"/>
      <c r="S2" s="600"/>
      <c r="T2" s="600"/>
      <c r="U2" s="601"/>
      <c r="V2" s="602"/>
      <c r="W2" s="602"/>
      <c r="X2" s="602"/>
      <c r="Y2" s="602"/>
    </row>
    <row r="3" spans="1:26" ht="17.399999999999999">
      <c r="B3" s="604" t="s">
        <v>661</v>
      </c>
      <c r="C3" s="605"/>
      <c r="D3" s="606"/>
      <c r="E3" s="607"/>
      <c r="F3" s="607"/>
      <c r="G3" s="607"/>
      <c r="H3" s="607"/>
      <c r="I3" s="607"/>
      <c r="J3" s="607"/>
      <c r="K3" s="607"/>
      <c r="L3" s="608" t="e">
        <f>+M3/N3</f>
        <v>#DIV/0!</v>
      </c>
      <c r="M3" s="609"/>
      <c r="N3" s="609"/>
      <c r="O3" s="609"/>
      <c r="P3" s="609"/>
      <c r="Q3" s="609"/>
      <c r="R3" s="609"/>
      <c r="S3" s="609"/>
      <c r="T3" s="609"/>
      <c r="U3" s="610"/>
    </row>
    <row r="4" spans="1:26">
      <c r="B4" s="611" t="s">
        <v>507</v>
      </c>
      <c r="C4" s="612" t="e">
        <f t="shared" ref="C4:L4" si="0">+C15/C5</f>
        <v>#DIV/0!</v>
      </c>
      <c r="D4" s="612" t="e">
        <f t="shared" si="0"/>
        <v>#DIV/0!</v>
      </c>
      <c r="E4" s="612" t="e">
        <f>+E15/E5</f>
        <v>#DIV/0!</v>
      </c>
      <c r="F4" s="612" t="e">
        <f t="shared" si="0"/>
        <v>#DIV/0!</v>
      </c>
      <c r="G4" s="612" t="e">
        <f t="shared" si="0"/>
        <v>#DIV/0!</v>
      </c>
      <c r="H4" s="612" t="e">
        <f t="shared" si="0"/>
        <v>#DIV/0!</v>
      </c>
      <c r="I4" s="612" t="e">
        <f t="shared" si="0"/>
        <v>#DIV/0!</v>
      </c>
      <c r="J4" s="612" t="e">
        <f t="shared" si="0"/>
        <v>#DIV/0!</v>
      </c>
      <c r="K4" s="612" t="e">
        <f t="shared" si="0"/>
        <v>#DIV/0!</v>
      </c>
      <c r="L4" s="612" t="e">
        <f t="shared" si="0"/>
        <v>#DIV/0!</v>
      </c>
      <c r="M4" s="612"/>
      <c r="N4" s="613"/>
      <c r="O4" s="613"/>
      <c r="P4" s="613"/>
      <c r="Q4" s="613"/>
      <c r="R4" s="613"/>
      <c r="S4" s="613"/>
      <c r="T4" s="613"/>
      <c r="U4" s="614"/>
    </row>
    <row r="5" spans="1:26" s="619" customFormat="1">
      <c r="A5" s="389"/>
      <c r="B5" s="611" t="s">
        <v>1150</v>
      </c>
      <c r="C5" s="615"/>
      <c r="D5" s="616"/>
      <c r="E5" s="616"/>
      <c r="F5" s="616"/>
      <c r="G5" s="617"/>
      <c r="H5" s="616"/>
      <c r="I5" s="618"/>
      <c r="J5" s="618"/>
      <c r="K5" s="618"/>
      <c r="L5" s="616"/>
      <c r="M5" s="616"/>
      <c r="N5" s="616"/>
      <c r="O5" s="616"/>
      <c r="P5" s="616"/>
      <c r="Q5" s="616"/>
      <c r="R5" s="616"/>
      <c r="S5" s="616"/>
      <c r="T5" s="616"/>
      <c r="U5" s="617"/>
      <c r="V5" s="595"/>
      <c r="W5" s="595"/>
      <c r="X5" s="595"/>
      <c r="Y5" s="595"/>
    </row>
    <row r="6" spans="1:26">
      <c r="C6" s="609"/>
      <c r="D6" s="616"/>
      <c r="E6" s="616"/>
      <c r="F6" s="616"/>
      <c r="G6" s="616"/>
      <c r="H6" s="616"/>
      <c r="I6" s="616"/>
      <c r="J6" s="616"/>
      <c r="K6" s="616"/>
      <c r="L6" s="616"/>
      <c r="M6" s="616"/>
      <c r="N6" s="616"/>
      <c r="O6" s="616"/>
      <c r="P6" s="616"/>
      <c r="Q6" s="616"/>
      <c r="R6" s="616"/>
      <c r="S6" s="616"/>
      <c r="T6" s="616"/>
      <c r="U6" s="617"/>
    </row>
    <row r="7" spans="1:26" s="622" customFormat="1">
      <c r="A7" s="1102" t="s">
        <v>662</v>
      </c>
      <c r="B7" s="1103"/>
      <c r="C7" s="1105">
        <v>2017</v>
      </c>
      <c r="D7" s="1106"/>
      <c r="E7" s="1106"/>
      <c r="F7" s="1106"/>
      <c r="G7" s="1106"/>
      <c r="H7" s="1106"/>
      <c r="I7" s="1106"/>
      <c r="J7" s="1106"/>
      <c r="K7" s="1106"/>
      <c r="L7" s="1106"/>
      <c r="M7" s="1106"/>
      <c r="N7" s="1107"/>
      <c r="O7" s="1108">
        <v>2017</v>
      </c>
      <c r="P7" s="621"/>
      <c r="Q7" s="621"/>
      <c r="R7" s="621"/>
      <c r="S7" s="621"/>
      <c r="T7" s="621"/>
      <c r="U7" s="614"/>
      <c r="V7" s="595"/>
      <c r="W7" s="595"/>
      <c r="X7" s="595"/>
      <c r="Y7" s="595"/>
    </row>
    <row r="8" spans="1:26" s="622" customFormat="1">
      <c r="A8" s="1102"/>
      <c r="B8" s="1104"/>
      <c r="C8" s="623" t="s">
        <v>511</v>
      </c>
      <c r="D8" s="623" t="s">
        <v>512</v>
      </c>
      <c r="E8" s="623" t="s">
        <v>513</v>
      </c>
      <c r="F8" s="623" t="s">
        <v>514</v>
      </c>
      <c r="G8" s="623" t="s">
        <v>515</v>
      </c>
      <c r="H8" s="623" t="s">
        <v>516</v>
      </c>
      <c r="I8" s="623" t="s">
        <v>517</v>
      </c>
      <c r="J8" s="623" t="s">
        <v>518</v>
      </c>
      <c r="K8" s="623" t="s">
        <v>519</v>
      </c>
      <c r="L8" s="623" t="s">
        <v>520</v>
      </c>
      <c r="M8" s="623" t="s">
        <v>521</v>
      </c>
      <c r="N8" s="623" t="s">
        <v>522</v>
      </c>
      <c r="O8" s="1109"/>
      <c r="P8" s="621"/>
      <c r="Q8" s="621"/>
      <c r="R8" s="621"/>
      <c r="S8" s="621"/>
      <c r="T8" s="621"/>
      <c r="U8" s="614"/>
      <c r="V8" s="595"/>
      <c r="W8" s="595"/>
      <c r="X8" s="595"/>
      <c r="Y8" s="595"/>
    </row>
    <row r="9" spans="1:26" s="622" customFormat="1">
      <c r="A9" s="1102"/>
      <c r="B9" s="1104"/>
      <c r="C9" s="624" t="s">
        <v>502</v>
      </c>
      <c r="D9" s="624" t="s">
        <v>502</v>
      </c>
      <c r="E9" s="624" t="s">
        <v>502</v>
      </c>
      <c r="F9" s="624" t="s">
        <v>502</v>
      </c>
      <c r="G9" s="624" t="s">
        <v>502</v>
      </c>
      <c r="H9" s="624" t="s">
        <v>502</v>
      </c>
      <c r="I9" s="624" t="s">
        <v>502</v>
      </c>
      <c r="J9" s="624" t="s">
        <v>502</v>
      </c>
      <c r="K9" s="624" t="s">
        <v>502</v>
      </c>
      <c r="L9" s="624" t="s">
        <v>502</v>
      </c>
      <c r="M9" s="624" t="s">
        <v>502</v>
      </c>
      <c r="N9" s="624" t="s">
        <v>502</v>
      </c>
      <c r="O9" s="625" t="s">
        <v>502</v>
      </c>
      <c r="P9" s="621"/>
      <c r="Q9" s="621"/>
      <c r="R9" s="621"/>
      <c r="S9" s="621"/>
      <c r="T9" s="621"/>
      <c r="U9" s="626"/>
      <c r="V9" s="595"/>
      <c r="W9" s="595"/>
      <c r="X9" s="595"/>
      <c r="Y9" s="595"/>
    </row>
    <row r="10" spans="1:26" s="622" customFormat="1">
      <c r="A10" s="627"/>
      <c r="B10" s="628" t="s">
        <v>371</v>
      </c>
      <c r="C10" s="629">
        <f t="shared" ref="C10:N10" si="1">C$11-SUM(C$12:C$14)</f>
        <v>6515062004.7800007</v>
      </c>
      <c r="D10" s="629">
        <f t="shared" si="1"/>
        <v>7184921275.8799992</v>
      </c>
      <c r="E10" s="629">
        <f t="shared" si="1"/>
        <v>4973841346.8999996</v>
      </c>
      <c r="F10" s="629">
        <f t="shared" si="1"/>
        <v>3683075985.5299997</v>
      </c>
      <c r="G10" s="629">
        <f t="shared" si="1"/>
        <v>4720383106.9099998</v>
      </c>
      <c r="H10" s="629">
        <f t="shared" si="1"/>
        <v>8680878825.539999</v>
      </c>
      <c r="I10" s="629">
        <f t="shared" si="1"/>
        <v>10332298705.73</v>
      </c>
      <c r="J10" s="629">
        <f t="shared" si="1"/>
        <v>21940581847.490002</v>
      </c>
      <c r="K10" s="629">
        <f t="shared" si="1"/>
        <v>16496806611.709999</v>
      </c>
      <c r="L10" s="629">
        <f t="shared" si="1"/>
        <v>17718143527.939999</v>
      </c>
      <c r="M10" s="629">
        <f t="shared" si="1"/>
        <v>13473871877.799999</v>
      </c>
      <c r="N10" s="629">
        <f t="shared" si="1"/>
        <v>9899629219.3199997</v>
      </c>
      <c r="O10" s="625">
        <f>SUM(C10:N10)</f>
        <v>125619494335.53</v>
      </c>
      <c r="P10" s="630">
        <f>+O10-125619494335.48</f>
        <v>5.00030517578125E-2</v>
      </c>
      <c r="Q10" s="621"/>
      <c r="R10" s="630">
        <f>+[9]IS!AT10</f>
        <v>4419742025.8299999</v>
      </c>
      <c r="S10" s="621">
        <f>+[9]IS!BL10</f>
        <v>88673668420.860565</v>
      </c>
      <c r="T10" s="631">
        <f>+G10/R10-1</f>
        <v>6.8022314271507955E-2</v>
      </c>
      <c r="U10" s="632">
        <f>+O10/S10-1</f>
        <v>0.41664934554549116</v>
      </c>
      <c r="V10" s="595"/>
      <c r="W10" s="595"/>
      <c r="X10" s="595"/>
      <c r="Y10" s="595"/>
    </row>
    <row r="11" spans="1:26">
      <c r="B11" s="633" t="s">
        <v>663</v>
      </c>
      <c r="C11" s="634">
        <f>4222862923.89+3006772647.46</f>
        <v>7229635571.3500004</v>
      </c>
      <c r="D11" s="634">
        <v>7461113836.4399996</v>
      </c>
      <c r="E11" s="634">
        <f>4048293534.59+1562949868.03</f>
        <v>5611243402.6199999</v>
      </c>
      <c r="F11" s="634">
        <f>2836691578.85+1044410143.71</f>
        <v>3881101722.5599999</v>
      </c>
      <c r="G11" s="634">
        <f>3604312567.43+1301318505.99</f>
        <v>4905631073.4200001</v>
      </c>
      <c r="H11" s="634">
        <f>4717628408.67+4084967455.24</f>
        <v>8802595863.9099998</v>
      </c>
      <c r="I11" s="634">
        <v>10575743727.27</v>
      </c>
      <c r="J11" s="634">
        <v>22408852570.200001</v>
      </c>
      <c r="K11" s="634">
        <v>16853726381.75</v>
      </c>
      <c r="L11" s="634">
        <v>18114045365.669998</v>
      </c>
      <c r="M11" s="634">
        <f>7941648477.59+5899147086.64</f>
        <v>13840795564.23</v>
      </c>
      <c r="N11" s="634">
        <f>7400395782.49+3670107597.33</f>
        <v>11070503379.82</v>
      </c>
      <c r="O11" s="635">
        <f>SUM(C11:N11)</f>
        <v>130754988459.23999</v>
      </c>
      <c r="P11" s="630"/>
      <c r="Q11" s="621"/>
      <c r="R11" s="630">
        <f>+[9]IS!AT11</f>
        <v>4546851137.29</v>
      </c>
      <c r="S11" s="621">
        <f>+[9]IS!BL11</f>
        <v>90957551497.458786</v>
      </c>
      <c r="T11" s="631">
        <f t="shared" ref="T11:T74" si="2">+G11/R11-1</f>
        <v>7.8907341651796248E-2</v>
      </c>
      <c r="U11" s="632">
        <f t="shared" ref="U11:U74" si="3">+O11/S11-1</f>
        <v>0.43753856943799851</v>
      </c>
      <c r="Z11" s="636">
        <f>+O11-O12</f>
        <v>127124561897.01999</v>
      </c>
    </row>
    <row r="12" spans="1:26">
      <c r="B12" s="637" t="s">
        <v>664</v>
      </c>
      <c r="C12" s="634">
        <v>385112049.75999999</v>
      </c>
      <c r="D12" s="634">
        <v>147482828.19999999</v>
      </c>
      <c r="E12" s="634">
        <v>524419839.88</v>
      </c>
      <c r="F12" s="634">
        <v>190921217.94999999</v>
      </c>
      <c r="G12" s="634">
        <v>169266234.65000001</v>
      </c>
      <c r="H12" s="634">
        <v>109736959.28</v>
      </c>
      <c r="I12" s="634">
        <v>223712464.41</v>
      </c>
      <c r="J12" s="634">
        <v>284554511.29000002</v>
      </c>
      <c r="K12" s="634">
        <v>279197522.87</v>
      </c>
      <c r="L12" s="634">
        <v>351618181.95999998</v>
      </c>
      <c r="M12" s="634">
        <v>323936048.54000002</v>
      </c>
      <c r="N12" s="634">
        <v>640468703.42999995</v>
      </c>
      <c r="O12" s="635">
        <f t="shared" ref="O12:O88" si="4">SUM(C12:N12)</f>
        <v>3630426562.2199998</v>
      </c>
      <c r="P12" s="630"/>
      <c r="Q12" s="621"/>
      <c r="R12" s="630">
        <f>+[9]IS!AT12</f>
        <v>120641740.81</v>
      </c>
      <c r="S12" s="621">
        <f>+[9]IS!BL12</f>
        <v>1847902834.6400001</v>
      </c>
      <c r="T12" s="631">
        <f t="shared" si="2"/>
        <v>0.40304867547111445</v>
      </c>
      <c r="U12" s="632">
        <f t="shared" si="3"/>
        <v>0.96461983507226057</v>
      </c>
    </row>
    <row r="13" spans="1:26">
      <c r="B13" s="637" t="s">
        <v>665</v>
      </c>
      <c r="C13" s="634">
        <v>329461516.81</v>
      </c>
      <c r="D13" s="634">
        <v>128709732.36</v>
      </c>
      <c r="E13" s="634">
        <v>112982215.84</v>
      </c>
      <c r="F13" s="634">
        <v>7104519.0800000001</v>
      </c>
      <c r="G13" s="634">
        <v>15981731.859999999</v>
      </c>
      <c r="H13" s="634">
        <v>11980079.09</v>
      </c>
      <c r="I13" s="634">
        <v>19732557.129999999</v>
      </c>
      <c r="J13" s="634">
        <v>183716211.41999999</v>
      </c>
      <c r="K13" s="634">
        <v>77722247.170000002</v>
      </c>
      <c r="L13" s="634">
        <v>44283655.770000003</v>
      </c>
      <c r="M13" s="634">
        <v>42987637.890000001</v>
      </c>
      <c r="N13" s="634">
        <f>78798469.42+451606987.65</f>
        <v>530405457.06999999</v>
      </c>
      <c r="O13" s="635">
        <f t="shared" si="4"/>
        <v>1505067561.49</v>
      </c>
      <c r="P13" s="630"/>
      <c r="Q13" s="621"/>
      <c r="R13" s="630">
        <f>+[9]IS!AT13</f>
        <v>6467370.6500000004</v>
      </c>
      <c r="S13" s="621">
        <f>+[9]IS!BL13</f>
        <v>435980241.95820004</v>
      </c>
      <c r="T13" s="631">
        <f t="shared" si="2"/>
        <v>1.4711328180950938</v>
      </c>
      <c r="U13" s="632">
        <f t="shared" si="3"/>
        <v>2.4521462594956303</v>
      </c>
    </row>
    <row r="14" spans="1:26">
      <c r="B14" s="637" t="s">
        <v>666</v>
      </c>
      <c r="C14" s="634"/>
      <c r="D14" s="634"/>
      <c r="E14" s="634"/>
      <c r="F14" s="634"/>
      <c r="G14" s="634"/>
      <c r="H14" s="634"/>
      <c r="I14" s="634"/>
      <c r="J14" s="634"/>
      <c r="K14" s="634"/>
      <c r="L14" s="634"/>
      <c r="M14" s="634">
        <v>0</v>
      </c>
      <c r="N14" s="638">
        <v>0</v>
      </c>
      <c r="O14" s="635">
        <f t="shared" si="4"/>
        <v>0</v>
      </c>
      <c r="P14" s="630"/>
      <c r="Q14" s="621"/>
      <c r="R14" s="630">
        <f>+[9]IS!AT14</f>
        <v>0</v>
      </c>
      <c r="S14" s="621">
        <f>+[9]IS!BL14</f>
        <v>0</v>
      </c>
      <c r="T14" s="631" t="e">
        <f t="shared" si="2"/>
        <v>#DIV/0!</v>
      </c>
      <c r="U14" s="632" t="e">
        <f t="shared" si="3"/>
        <v>#DIV/0!</v>
      </c>
    </row>
    <row r="15" spans="1:26" s="622" customFormat="1">
      <c r="A15" s="627"/>
      <c r="B15" s="628" t="s">
        <v>667</v>
      </c>
      <c r="C15" s="629">
        <f t="shared" ref="C15:M15" si="5">SUM(C16:C21)</f>
        <v>3802471915.0100002</v>
      </c>
      <c r="D15" s="629">
        <f t="shared" si="5"/>
        <v>4022226969.5799999</v>
      </c>
      <c r="E15" s="629">
        <f t="shared" si="5"/>
        <v>3519496475.5599999</v>
      </c>
      <c r="F15" s="629">
        <f t="shared" si="5"/>
        <v>1987332349.8599999</v>
      </c>
      <c r="G15" s="629">
        <f t="shared" si="5"/>
        <v>2411469666.25</v>
      </c>
      <c r="H15" s="629">
        <f t="shared" si="5"/>
        <v>5132873782.5100002</v>
      </c>
      <c r="I15" s="629">
        <f t="shared" si="5"/>
        <v>5432251170.29</v>
      </c>
      <c r="J15" s="629">
        <f t="shared" ref="J15" si="6">SUM(J16:J21)</f>
        <v>12432391728.58</v>
      </c>
      <c r="K15" s="629">
        <f t="shared" si="5"/>
        <v>10015382251.469999</v>
      </c>
      <c r="L15" s="629">
        <f t="shared" si="5"/>
        <v>14185720637.91</v>
      </c>
      <c r="M15" s="629">
        <f t="shared" si="5"/>
        <v>7686808965.1599998</v>
      </c>
      <c r="N15" s="629">
        <f t="shared" ref="N15" si="7">SUM(N16:N21)</f>
        <v>4441100368.0699997</v>
      </c>
      <c r="O15" s="625">
        <f t="shared" si="4"/>
        <v>75069526280.25</v>
      </c>
      <c r="P15" s="630">
        <f>+O15-75069526280.83</f>
        <v>-0.5800018310546875</v>
      </c>
      <c r="Q15" s="621"/>
      <c r="R15" s="630">
        <f>+[9]IS!AT15</f>
        <v>2850292656.98</v>
      </c>
      <c r="S15" s="621">
        <f>+[9]IS!BL15</f>
        <v>52440855025.627602</v>
      </c>
      <c r="T15" s="631">
        <f t="shared" si="2"/>
        <v>-0.15395716985600727</v>
      </c>
      <c r="U15" s="632">
        <f t="shared" si="3"/>
        <v>0.43150843447468334</v>
      </c>
      <c r="V15" s="595"/>
      <c r="W15" s="595"/>
      <c r="X15" s="595"/>
      <c r="Y15" s="595"/>
    </row>
    <row r="16" spans="1:26">
      <c r="A16" s="639"/>
      <c r="B16" s="640" t="s">
        <v>669</v>
      </c>
      <c r="C16" s="634"/>
      <c r="D16" s="634"/>
      <c r="E16" s="634"/>
      <c r="F16" s="634"/>
      <c r="G16" s="634"/>
      <c r="H16" s="634"/>
      <c r="I16" s="634"/>
      <c r="J16" s="634"/>
      <c r="K16" s="634"/>
      <c r="L16" s="634"/>
      <c r="M16" s="634"/>
      <c r="N16" s="634"/>
      <c r="O16" s="635">
        <f>SUM(C16:N16)</f>
        <v>0</v>
      </c>
      <c r="P16" s="630"/>
      <c r="Q16" s="621"/>
      <c r="R16" s="630">
        <f>+[9]IS!AT16</f>
        <v>360537352.05763417</v>
      </c>
      <c r="S16" s="621">
        <f>+[9]IS!BL16</f>
        <v>6276738538.4427452</v>
      </c>
      <c r="T16" s="631">
        <f t="shared" si="2"/>
        <v>-1</v>
      </c>
      <c r="U16" s="632">
        <f t="shared" si="3"/>
        <v>-1</v>
      </c>
    </row>
    <row r="17" spans="1:25">
      <c r="A17" s="639"/>
      <c r="B17" s="640" t="s">
        <v>668</v>
      </c>
      <c r="C17" s="634">
        <v>3802471915.0100002</v>
      </c>
      <c r="D17" s="634">
        <v>4022226969.5799999</v>
      </c>
      <c r="E17" s="634">
        <f>3294496475.56+225000000</f>
        <v>3519496475.5599999</v>
      </c>
      <c r="F17" s="634">
        <v>1987332349.8599999</v>
      </c>
      <c r="G17" s="634">
        <v>2411469666.25</v>
      </c>
      <c r="H17" s="634">
        <v>5132873782.5100002</v>
      </c>
      <c r="I17" s="634">
        <v>5432251170.29</v>
      </c>
      <c r="J17" s="634">
        <v>12432391728.58</v>
      </c>
      <c r="K17" s="634">
        <v>10015382251.469999</v>
      </c>
      <c r="L17" s="634">
        <v>11082732457.91</v>
      </c>
      <c r="M17" s="634">
        <v>7686808965.1599998</v>
      </c>
      <c r="N17" s="634">
        <v>4441100368.0699997</v>
      </c>
      <c r="O17" s="635">
        <f t="shared" si="4"/>
        <v>71966538100.25</v>
      </c>
      <c r="P17" s="630">
        <f>+N17/N10</f>
        <v>0.44861279848772523</v>
      </c>
      <c r="Q17" s="621"/>
      <c r="R17" s="630">
        <f>+[9]IS!AT17</f>
        <v>1162173604.8751769</v>
      </c>
      <c r="S17" s="621">
        <f>+[9]IS!BL17</f>
        <v>24845633769.881256</v>
      </c>
      <c r="T17" s="631">
        <f t="shared" si="2"/>
        <v>1.0749650965519937</v>
      </c>
      <c r="U17" s="632">
        <f t="shared" si="3"/>
        <v>1.8965466836869482</v>
      </c>
    </row>
    <row r="18" spans="1:25">
      <c r="A18" s="639"/>
      <c r="B18" s="640" t="s">
        <v>1093</v>
      </c>
      <c r="C18" s="634"/>
      <c r="D18" s="634"/>
      <c r="E18" s="634"/>
      <c r="F18" s="634"/>
      <c r="G18" s="634"/>
      <c r="H18" s="634"/>
      <c r="I18" s="634"/>
      <c r="J18" s="634"/>
      <c r="K18" s="634"/>
      <c r="L18" s="634"/>
      <c r="M18" s="634"/>
      <c r="N18" s="634"/>
      <c r="O18" s="635">
        <f>SUM(C18:N18)</f>
        <v>0</v>
      </c>
      <c r="P18" s="630">
        <f>1-P17</f>
        <v>0.55138720151227472</v>
      </c>
      <c r="Q18" s="634"/>
      <c r="R18" s="630">
        <f>+[9]IS!AT18</f>
        <v>437417439.85127246</v>
      </c>
      <c r="S18" s="621">
        <f>+[9]IS!BL18</f>
        <v>7554713311.5760403</v>
      </c>
      <c r="T18" s="631">
        <f t="shared" si="2"/>
        <v>-1</v>
      </c>
      <c r="U18" s="632">
        <f t="shared" si="3"/>
        <v>-1</v>
      </c>
    </row>
    <row r="19" spans="1:25">
      <c r="A19" s="639"/>
      <c r="B19" s="641" t="s">
        <v>671</v>
      </c>
      <c r="C19" s="634"/>
      <c r="D19" s="634"/>
      <c r="E19" s="634"/>
      <c r="F19" s="634"/>
      <c r="G19" s="634"/>
      <c r="H19" s="634"/>
      <c r="I19" s="634"/>
      <c r="J19" s="634"/>
      <c r="K19" s="634"/>
      <c r="L19" s="634">
        <v>3102988180</v>
      </c>
      <c r="M19" s="634"/>
      <c r="N19" s="634"/>
      <c r="O19" s="635">
        <f>SUM(C19:N19)</f>
        <v>3102988180</v>
      </c>
      <c r="P19" s="630"/>
      <c r="Q19" s="634"/>
      <c r="R19" s="630">
        <f>+[9]IS!AT19</f>
        <v>263871166.13586986</v>
      </c>
      <c r="S19" s="621">
        <f>+[9]IS!BL19</f>
        <v>5211085212.8974771</v>
      </c>
      <c r="T19" s="631">
        <f t="shared" si="2"/>
        <v>-1</v>
      </c>
      <c r="U19" s="632">
        <f t="shared" si="3"/>
        <v>-0.40454088673889277</v>
      </c>
    </row>
    <row r="20" spans="1:25">
      <c r="A20" s="639"/>
      <c r="B20" s="641" t="s">
        <v>670</v>
      </c>
      <c r="C20" s="634"/>
      <c r="D20" s="634"/>
      <c r="E20" s="634"/>
      <c r="F20" s="634"/>
      <c r="G20" s="634"/>
      <c r="H20" s="634"/>
      <c r="I20" s="634"/>
      <c r="J20" s="634"/>
      <c r="K20" s="634"/>
      <c r="L20" s="634"/>
      <c r="M20" s="634"/>
      <c r="N20" s="634"/>
      <c r="O20" s="635">
        <f t="shared" si="4"/>
        <v>0</v>
      </c>
      <c r="P20" s="630"/>
      <c r="Q20" s="621"/>
      <c r="R20" s="630">
        <f>+[9]IS!AT20</f>
        <v>304778943.98004687</v>
      </c>
      <c r="S20" s="621">
        <f>+[9]IS!BL20</f>
        <v>4608990781.6200829</v>
      </c>
      <c r="T20" s="631">
        <f t="shared" si="2"/>
        <v>-1</v>
      </c>
      <c r="U20" s="632">
        <f t="shared" si="3"/>
        <v>-1</v>
      </c>
    </row>
    <row r="21" spans="1:25">
      <c r="A21" s="639"/>
      <c r="B21" s="640" t="s">
        <v>672</v>
      </c>
      <c r="C21" s="634"/>
      <c r="D21" s="634"/>
      <c r="E21" s="634"/>
      <c r="F21" s="634"/>
      <c r="G21" s="634"/>
      <c r="H21" s="634"/>
      <c r="I21" s="634"/>
      <c r="J21" s="634"/>
      <c r="K21" s="634"/>
      <c r="L21" s="634"/>
      <c r="M21" s="634"/>
      <c r="N21" s="634"/>
      <c r="O21" s="635">
        <f t="shared" si="4"/>
        <v>0</v>
      </c>
      <c r="P21" s="630"/>
      <c r="Q21" s="621"/>
      <c r="R21" s="630">
        <f>+[9]IS!AT21</f>
        <v>321514150.08000004</v>
      </c>
      <c r="S21" s="621">
        <f>+[9]IS!BL21</f>
        <v>3943693411.2099996</v>
      </c>
      <c r="T21" s="631">
        <f t="shared" si="2"/>
        <v>-1</v>
      </c>
      <c r="U21" s="632">
        <f t="shared" si="3"/>
        <v>-1</v>
      </c>
    </row>
    <row r="22" spans="1:25" s="622" customFormat="1">
      <c r="A22" s="627"/>
      <c r="B22" s="642" t="s">
        <v>673</v>
      </c>
      <c r="C22" s="629">
        <f t="shared" ref="C22:N22" si="8">C$10-C$15</f>
        <v>2712590089.7700005</v>
      </c>
      <c r="D22" s="629">
        <f t="shared" si="8"/>
        <v>3162694306.2999992</v>
      </c>
      <c r="E22" s="629">
        <f t="shared" si="8"/>
        <v>1454344871.3399997</v>
      </c>
      <c r="F22" s="629">
        <f t="shared" si="8"/>
        <v>1695743635.6699998</v>
      </c>
      <c r="G22" s="629">
        <f t="shared" si="8"/>
        <v>2308913440.6599998</v>
      </c>
      <c r="H22" s="629">
        <f t="shared" si="8"/>
        <v>3548005043.0299988</v>
      </c>
      <c r="I22" s="629">
        <f t="shared" si="8"/>
        <v>4900047535.4399996</v>
      </c>
      <c r="J22" s="629">
        <f t="shared" si="8"/>
        <v>9508190118.9100018</v>
      </c>
      <c r="K22" s="629">
        <f t="shared" si="8"/>
        <v>6481424360.2399998</v>
      </c>
      <c r="L22" s="629">
        <f t="shared" si="8"/>
        <v>3532422890.0299988</v>
      </c>
      <c r="M22" s="629">
        <f t="shared" si="8"/>
        <v>5787062912.6399994</v>
      </c>
      <c r="N22" s="629">
        <f t="shared" si="8"/>
        <v>5458528851.25</v>
      </c>
      <c r="O22" s="625">
        <f t="shared" si="4"/>
        <v>50549968055.279999</v>
      </c>
      <c r="P22" s="630"/>
      <c r="Q22" s="621"/>
      <c r="R22" s="630">
        <f>+[9]IS!AT22</f>
        <v>1569449368.8499999</v>
      </c>
      <c r="S22" s="621">
        <f>+[9]IS!BL22</f>
        <v>35879316656.252991</v>
      </c>
      <c r="T22" s="631">
        <f t="shared" si="2"/>
        <v>0.4711614700586586</v>
      </c>
      <c r="U22" s="632">
        <f t="shared" si="3"/>
        <v>0.40888881857983295</v>
      </c>
      <c r="V22" s="595"/>
      <c r="W22" s="595"/>
      <c r="X22" s="595"/>
      <c r="Y22" s="595"/>
    </row>
    <row r="23" spans="1:25" s="622" customFormat="1">
      <c r="A23" s="627"/>
      <c r="B23" s="628" t="s">
        <v>674</v>
      </c>
      <c r="C23" s="629">
        <f t="shared" ref="C23:N23" si="9">SUM(C$24:C$65)</f>
        <v>922264631.11999977</v>
      </c>
      <c r="D23" s="629">
        <f t="shared" si="9"/>
        <v>978032894.8900001</v>
      </c>
      <c r="E23" s="629">
        <f t="shared" si="9"/>
        <v>1009624557.4499999</v>
      </c>
      <c r="F23" s="629">
        <f t="shared" si="9"/>
        <v>1038673041.9599999</v>
      </c>
      <c r="G23" s="629">
        <f t="shared" si="9"/>
        <v>1201563910.6172726</v>
      </c>
      <c r="H23" s="629">
        <f t="shared" si="9"/>
        <v>1298285593.1472726</v>
      </c>
      <c r="I23" s="629">
        <f t="shared" si="9"/>
        <v>1519405566.9400003</v>
      </c>
      <c r="J23" s="629">
        <f t="shared" si="9"/>
        <v>2393872587.9300003</v>
      </c>
      <c r="K23" s="629">
        <f t="shared" si="9"/>
        <v>2032548054.2900004</v>
      </c>
      <c r="L23" s="629">
        <f t="shared" si="9"/>
        <v>1708643109.2199996</v>
      </c>
      <c r="M23" s="629">
        <f t="shared" si="9"/>
        <v>1533465171.4000001</v>
      </c>
      <c r="N23" s="629">
        <f t="shared" si="9"/>
        <v>1635081285.3299999</v>
      </c>
      <c r="O23" s="625">
        <f t="shared" si="4"/>
        <v>17271460404.294548</v>
      </c>
      <c r="P23" s="630"/>
      <c r="Q23" s="621"/>
      <c r="R23" s="630">
        <f>+[9]IS!AT23</f>
        <v>798689472.23000014</v>
      </c>
      <c r="S23" s="621">
        <f>+[9]IS!BL23</f>
        <v>13424428321.015001</v>
      </c>
      <c r="T23" s="631">
        <f t="shared" si="2"/>
        <v>0.50441936747008476</v>
      </c>
      <c r="U23" s="632">
        <f t="shared" si="3"/>
        <v>0.28656952767644395</v>
      </c>
      <c r="V23" s="595"/>
      <c r="W23" s="595"/>
      <c r="X23" s="595"/>
      <c r="Y23" s="595"/>
    </row>
    <row r="24" spans="1:25">
      <c r="A24" s="639">
        <v>7001</v>
      </c>
      <c r="B24" s="637" t="s">
        <v>675</v>
      </c>
      <c r="C24" s="643">
        <f t="shared" ref="C24:N25" si="10">+C109+C125+C135</f>
        <v>337355941.94999999</v>
      </c>
      <c r="D24" s="643">
        <f>+D109+D125+D135+D118</f>
        <v>356328935.59000003</v>
      </c>
      <c r="E24" s="643">
        <f t="shared" si="10"/>
        <v>380291670.27999997</v>
      </c>
      <c r="F24" s="643">
        <f t="shared" si="10"/>
        <v>357685940.95000005</v>
      </c>
      <c r="G24" s="643">
        <f t="shared" si="10"/>
        <v>380262256.33999997</v>
      </c>
      <c r="H24" s="643">
        <f t="shared" si="10"/>
        <v>410504936.08000004</v>
      </c>
      <c r="I24" s="643">
        <f t="shared" si="10"/>
        <v>353224977.59000003</v>
      </c>
      <c r="J24" s="643">
        <f t="shared" si="10"/>
        <v>450533636.20000005</v>
      </c>
      <c r="K24" s="643">
        <f t="shared" si="10"/>
        <v>472671982.26999998</v>
      </c>
      <c r="L24" s="643">
        <f t="shared" si="10"/>
        <v>462215466.33999997</v>
      </c>
      <c r="M24" s="643">
        <f t="shared" si="10"/>
        <v>472934290.74000001</v>
      </c>
      <c r="N24" s="643">
        <f t="shared" si="10"/>
        <v>402161311.95000005</v>
      </c>
      <c r="O24" s="635">
        <f t="shared" si="4"/>
        <v>4836171346.2800007</v>
      </c>
      <c r="P24" s="630"/>
      <c r="Q24" s="621"/>
      <c r="R24" s="630">
        <f>+[9]IS!AT24</f>
        <v>281696365.80000001</v>
      </c>
      <c r="S24" s="621">
        <f>+[9]IS!BL24</f>
        <v>4099900544.3010001</v>
      </c>
      <c r="T24" s="644">
        <f t="shared" si="2"/>
        <v>0.34990117909430252</v>
      </c>
      <c r="U24" s="632">
        <f t="shared" si="3"/>
        <v>0.1795826006078225</v>
      </c>
    </row>
    <row r="25" spans="1:25">
      <c r="A25" s="639">
        <v>7003</v>
      </c>
      <c r="B25" s="637" t="s">
        <v>676</v>
      </c>
      <c r="C25" s="643">
        <f t="shared" si="10"/>
        <v>41137340.200000003</v>
      </c>
      <c r="D25" s="643">
        <f t="shared" si="10"/>
        <v>44116374.189999998</v>
      </c>
      <c r="E25" s="643">
        <f t="shared" si="10"/>
        <v>46439554.57</v>
      </c>
      <c r="F25" s="643">
        <f t="shared" si="10"/>
        <v>43508281.039999999</v>
      </c>
      <c r="G25" s="643">
        <f t="shared" si="10"/>
        <v>45843605.299999997</v>
      </c>
      <c r="H25" s="643">
        <f t="shared" si="10"/>
        <v>49889981.049999997</v>
      </c>
      <c r="I25" s="643">
        <f t="shared" si="10"/>
        <v>64289894.349999994</v>
      </c>
      <c r="J25" s="643">
        <f t="shared" si="10"/>
        <v>54523451.799999997</v>
      </c>
      <c r="K25" s="643">
        <f t="shared" si="10"/>
        <v>57111654.310000002</v>
      </c>
      <c r="L25" s="643">
        <f t="shared" si="10"/>
        <v>55868993.400000006</v>
      </c>
      <c r="M25" s="643">
        <f t="shared" si="10"/>
        <v>57645215.82</v>
      </c>
      <c r="N25" s="643">
        <f t="shared" si="10"/>
        <v>124206270.48999999</v>
      </c>
      <c r="O25" s="635">
        <f t="shared" si="4"/>
        <v>684580616.5200001</v>
      </c>
      <c r="P25" s="630"/>
      <c r="Q25" s="621"/>
      <c r="R25" s="630">
        <f>+[9]IS!AT25</f>
        <v>34342647.859999999</v>
      </c>
      <c r="S25" s="621">
        <f>+[9]IS!BL25</f>
        <v>471615093.45119995</v>
      </c>
      <c r="T25" s="644">
        <f t="shared" si="2"/>
        <v>0.33488848870606569</v>
      </c>
      <c r="U25" s="632">
        <f t="shared" si="3"/>
        <v>0.45156638544019922</v>
      </c>
    </row>
    <row r="26" spans="1:25">
      <c r="A26" s="639">
        <v>7004</v>
      </c>
      <c r="B26" s="637" t="s">
        <v>677</v>
      </c>
      <c r="C26" s="634">
        <f t="shared" ref="C26:N26" si="11">+C155</f>
        <v>0</v>
      </c>
      <c r="D26" s="634">
        <f t="shared" si="11"/>
        <v>0</v>
      </c>
      <c r="E26" s="634">
        <f t="shared" si="11"/>
        <v>0</v>
      </c>
      <c r="F26" s="634">
        <f t="shared" si="11"/>
        <v>0</v>
      </c>
      <c r="G26" s="634">
        <f t="shared" si="11"/>
        <v>0</v>
      </c>
      <c r="H26" s="634">
        <f t="shared" si="11"/>
        <v>0</v>
      </c>
      <c r="I26" s="634">
        <f t="shared" si="11"/>
        <v>0</v>
      </c>
      <c r="J26" s="634">
        <f t="shared" si="11"/>
        <v>0</v>
      </c>
      <c r="K26" s="634">
        <f t="shared" si="11"/>
        <v>100000</v>
      </c>
      <c r="L26" s="634">
        <f t="shared" si="11"/>
        <v>0</v>
      </c>
      <c r="M26" s="634">
        <f t="shared" si="11"/>
        <v>0</v>
      </c>
      <c r="N26" s="634">
        <f t="shared" si="11"/>
        <v>12432000</v>
      </c>
      <c r="O26" s="635">
        <f t="shared" si="4"/>
        <v>12532000</v>
      </c>
      <c r="P26" s="630"/>
      <c r="Q26" s="621"/>
      <c r="R26" s="630">
        <f>+[9]IS!AT26</f>
        <v>0</v>
      </c>
      <c r="S26" s="621">
        <f>+[9]IS!BL26</f>
        <v>215091235.33000001</v>
      </c>
      <c r="T26" s="631" t="e">
        <f t="shared" si="2"/>
        <v>#DIV/0!</v>
      </c>
      <c r="U26" s="632">
        <f t="shared" si="3"/>
        <v>-0.9417363521076394</v>
      </c>
    </row>
    <row r="27" spans="1:25">
      <c r="A27" s="639">
        <v>7002</v>
      </c>
      <c r="B27" s="637" t="s">
        <v>1151</v>
      </c>
      <c r="C27" s="634"/>
      <c r="D27" s="634"/>
      <c r="E27" s="634"/>
      <c r="F27" s="634"/>
      <c r="G27" s="634"/>
      <c r="H27" s="634"/>
      <c r="I27" s="634"/>
      <c r="J27" s="634"/>
      <c r="K27" s="634"/>
      <c r="L27" s="634"/>
      <c r="M27" s="634"/>
      <c r="N27" s="634"/>
      <c r="O27" s="635">
        <f t="shared" si="4"/>
        <v>0</v>
      </c>
      <c r="P27" s="630"/>
      <c r="Q27" s="621"/>
      <c r="R27" s="630">
        <f>+[9]IS!AT27</f>
        <v>0</v>
      </c>
      <c r="S27" s="621">
        <f>+[9]IS!BL27</f>
        <v>0</v>
      </c>
      <c r="T27" s="631" t="e">
        <f t="shared" si="2"/>
        <v>#DIV/0!</v>
      </c>
      <c r="U27" s="632" t="e">
        <f t="shared" si="3"/>
        <v>#DIV/0!</v>
      </c>
    </row>
    <row r="28" spans="1:25">
      <c r="A28" s="639">
        <v>7005</v>
      </c>
      <c r="B28" s="637" t="s">
        <v>678</v>
      </c>
      <c r="C28" s="634">
        <f t="shared" ref="C28:N28" si="12">+C116+C143</f>
        <v>7113371.8200000003</v>
      </c>
      <c r="D28" s="634">
        <f t="shared" si="12"/>
        <v>9352061.75</v>
      </c>
      <c r="E28" s="634">
        <f t="shared" si="12"/>
        <v>11543461.699999999</v>
      </c>
      <c r="F28" s="634">
        <f t="shared" si="12"/>
        <v>10071824.539999999</v>
      </c>
      <c r="G28" s="634">
        <f t="shared" si="12"/>
        <v>8348623.7400000002</v>
      </c>
      <c r="H28" s="634">
        <f t="shared" si="12"/>
        <v>9227270.9000000004</v>
      </c>
      <c r="I28" s="634">
        <f t="shared" si="12"/>
        <v>8649753.0500000007</v>
      </c>
      <c r="J28" s="634">
        <f t="shared" si="12"/>
        <v>13350951.800000001</v>
      </c>
      <c r="K28" s="634">
        <f t="shared" si="12"/>
        <v>10239004.460000001</v>
      </c>
      <c r="L28" s="634">
        <f t="shared" si="12"/>
        <v>10126638.800000001</v>
      </c>
      <c r="M28" s="634">
        <f t="shared" si="12"/>
        <v>14660461.41</v>
      </c>
      <c r="N28" s="634">
        <f t="shared" si="12"/>
        <v>9515727.2300000004</v>
      </c>
      <c r="O28" s="635">
        <f t="shared" si="4"/>
        <v>122199151.19999999</v>
      </c>
      <c r="P28" s="630"/>
      <c r="Q28" s="621"/>
      <c r="R28" s="630">
        <f>+[9]IS!AT28</f>
        <v>8143171.2299999995</v>
      </c>
      <c r="S28" s="621">
        <f>+[9]IS!BL28</f>
        <v>100842009.4251</v>
      </c>
      <c r="T28" s="631">
        <f t="shared" si="2"/>
        <v>2.5230036824363866E-2</v>
      </c>
      <c r="U28" s="632">
        <f t="shared" si="3"/>
        <v>0.21178814163518744</v>
      </c>
    </row>
    <row r="29" spans="1:25">
      <c r="A29" s="639">
        <v>7006</v>
      </c>
      <c r="B29" s="637" t="s">
        <v>679</v>
      </c>
      <c r="C29" s="645">
        <f t="shared" ref="C29:N29" si="13">+C115+C141+C142+C178+C179+C180+C181+C140</f>
        <v>4988067.5199999996</v>
      </c>
      <c r="D29" s="645">
        <f t="shared" si="13"/>
        <v>4237605.21</v>
      </c>
      <c r="E29" s="645">
        <f t="shared" si="13"/>
        <v>41766395.860000007</v>
      </c>
      <c r="F29" s="645">
        <f t="shared" si="13"/>
        <v>8365617.8300000001</v>
      </c>
      <c r="G29" s="645">
        <f t="shared" si="13"/>
        <v>7591027.4299999997</v>
      </c>
      <c r="H29" s="645">
        <f t="shared" si="13"/>
        <v>1756385.9100000001</v>
      </c>
      <c r="I29" s="645">
        <f t="shared" si="13"/>
        <v>7301909.4699999988</v>
      </c>
      <c r="J29" s="645">
        <f t="shared" si="13"/>
        <v>7044074.2299999995</v>
      </c>
      <c r="K29" s="645">
        <f t="shared" si="13"/>
        <v>8164534.9400000004</v>
      </c>
      <c r="L29" s="645">
        <f t="shared" si="13"/>
        <v>6524103.0300000003</v>
      </c>
      <c r="M29" s="645">
        <f t="shared" si="13"/>
        <v>6973919.6000000006</v>
      </c>
      <c r="N29" s="645">
        <f t="shared" si="13"/>
        <v>8343133.7000000002</v>
      </c>
      <c r="O29" s="635">
        <f t="shared" si="4"/>
        <v>113056774.73</v>
      </c>
      <c r="P29" s="630"/>
      <c r="Q29" s="621"/>
      <c r="R29" s="630">
        <f>+[9]IS!AT29</f>
        <v>3107145.3</v>
      </c>
      <c r="S29" s="621">
        <f>+[9]IS!BL29</f>
        <v>49887172.332200006</v>
      </c>
      <c r="T29" s="644">
        <f t="shared" si="2"/>
        <v>1.443087367043955</v>
      </c>
      <c r="U29" s="632">
        <f t="shared" si="3"/>
        <v>1.2662494073055881</v>
      </c>
    </row>
    <row r="30" spans="1:25">
      <c r="A30" s="639">
        <v>7007</v>
      </c>
      <c r="B30" s="637" t="s">
        <v>680</v>
      </c>
      <c r="C30" s="634">
        <f t="shared" ref="C30:N30" si="14">+C138</f>
        <v>51027501.68</v>
      </c>
      <c r="D30" s="634">
        <f t="shared" si="14"/>
        <v>76065885.549999997</v>
      </c>
      <c r="E30" s="634">
        <f t="shared" si="14"/>
        <v>46568288.109999999</v>
      </c>
      <c r="F30" s="634">
        <f t="shared" si="14"/>
        <v>61065794.420000002</v>
      </c>
      <c r="G30" s="634">
        <f t="shared" si="14"/>
        <v>70152232.819999993</v>
      </c>
      <c r="H30" s="634">
        <f t="shared" si="14"/>
        <v>44446303.850000001</v>
      </c>
      <c r="I30" s="634">
        <f t="shared" si="14"/>
        <v>26656139.870000001</v>
      </c>
      <c r="J30" s="634">
        <f t="shared" si="14"/>
        <v>109199735.44</v>
      </c>
      <c r="K30" s="634">
        <f t="shared" si="14"/>
        <v>81865321.549999997</v>
      </c>
      <c r="L30" s="634">
        <f t="shared" si="14"/>
        <v>93065718.209999993</v>
      </c>
      <c r="M30" s="634">
        <f t="shared" si="14"/>
        <v>72991157.5</v>
      </c>
      <c r="N30" s="634">
        <f t="shared" si="14"/>
        <v>70362497.439999998</v>
      </c>
      <c r="O30" s="635">
        <f t="shared" si="4"/>
        <v>803466576.44000006</v>
      </c>
      <c r="P30" s="630"/>
      <c r="Q30" s="621"/>
      <c r="R30" s="630">
        <f>+[9]IS!AT30</f>
        <v>72063016.109999999</v>
      </c>
      <c r="S30" s="621">
        <f>+[9]IS!BL30</f>
        <v>787588355.08999991</v>
      </c>
      <c r="T30" s="631">
        <f t="shared" si="2"/>
        <v>-2.6515449854101369E-2</v>
      </c>
      <c r="U30" s="632">
        <f t="shared" si="3"/>
        <v>2.0160558808904216E-2</v>
      </c>
    </row>
    <row r="31" spans="1:25">
      <c r="A31" s="639">
        <v>7008</v>
      </c>
      <c r="B31" s="637" t="s">
        <v>396</v>
      </c>
      <c r="C31" s="634">
        <f t="shared" ref="C31:N31" si="15">+C119+C158</f>
        <v>7414215.2599999998</v>
      </c>
      <c r="D31" s="634">
        <f t="shared" si="15"/>
        <v>6769945.0999999996</v>
      </c>
      <c r="E31" s="634">
        <f t="shared" si="15"/>
        <v>7335492.4399999995</v>
      </c>
      <c r="F31" s="634">
        <f t="shared" si="15"/>
        <v>4015004.63</v>
      </c>
      <c r="G31" s="634">
        <f t="shared" si="15"/>
        <v>8196281.2999999998</v>
      </c>
      <c r="H31" s="634">
        <f t="shared" si="15"/>
        <v>6533179.9199999999</v>
      </c>
      <c r="I31" s="634">
        <f t="shared" si="15"/>
        <v>6160197.0100000007</v>
      </c>
      <c r="J31" s="634">
        <f t="shared" si="15"/>
        <v>4401115.13</v>
      </c>
      <c r="K31" s="634">
        <f t="shared" si="15"/>
        <v>8803643.629999999</v>
      </c>
      <c r="L31" s="634">
        <f t="shared" si="15"/>
        <v>11935804.07</v>
      </c>
      <c r="M31" s="634">
        <f t="shared" si="15"/>
        <v>11046409.33</v>
      </c>
      <c r="N31" s="634">
        <f t="shared" si="15"/>
        <v>14582177.720000001</v>
      </c>
      <c r="O31" s="635">
        <f t="shared" si="4"/>
        <v>97193465.540000007</v>
      </c>
      <c r="P31" s="630"/>
      <c r="Q31" s="621"/>
      <c r="R31" s="630">
        <f>+[9]IS!AT31</f>
        <v>4087061.1</v>
      </c>
      <c r="S31" s="621">
        <f>+[9]IS!BL31</f>
        <v>87904120.499999985</v>
      </c>
      <c r="T31" s="631">
        <f t="shared" si="2"/>
        <v>1.0054217687129756</v>
      </c>
      <c r="U31" s="632">
        <f t="shared" si="3"/>
        <v>0.10567587716209537</v>
      </c>
    </row>
    <row r="32" spans="1:25">
      <c r="A32" s="639">
        <v>7009</v>
      </c>
      <c r="B32" s="637" t="s">
        <v>399</v>
      </c>
      <c r="C32" s="634">
        <f t="shared" ref="C32:N32" si="16">+C150</f>
        <v>821500</v>
      </c>
      <c r="D32" s="634">
        <f t="shared" si="16"/>
        <v>626444.43999999994</v>
      </c>
      <c r="E32" s="634">
        <f t="shared" si="16"/>
        <v>38119</v>
      </c>
      <c r="F32" s="634">
        <f t="shared" si="16"/>
        <v>3091358.02</v>
      </c>
      <c r="G32" s="634">
        <f t="shared" si="16"/>
        <v>970000</v>
      </c>
      <c r="H32" s="634">
        <f t="shared" si="16"/>
        <v>3045382.48</v>
      </c>
      <c r="I32" s="634">
        <f t="shared" si="16"/>
        <v>1010000</v>
      </c>
      <c r="J32" s="634">
        <f t="shared" si="16"/>
        <v>7092909.0899999999</v>
      </c>
      <c r="K32" s="634">
        <f t="shared" si="16"/>
        <v>4208545.45</v>
      </c>
      <c r="L32" s="634">
        <f t="shared" si="16"/>
        <v>2810000</v>
      </c>
      <c r="M32" s="634">
        <f t="shared" si="16"/>
        <v>17628968.719999999</v>
      </c>
      <c r="N32" s="634">
        <f t="shared" si="16"/>
        <v>8200951.8200000003</v>
      </c>
      <c r="O32" s="635">
        <f t="shared" si="4"/>
        <v>49544179.020000003</v>
      </c>
      <c r="P32" s="630"/>
      <c r="Q32" s="621"/>
      <c r="R32" s="630">
        <f>+[9]IS!AT32</f>
        <v>230000</v>
      </c>
      <c r="S32" s="621">
        <f>+[9]IS!BL32</f>
        <v>83632541.079999998</v>
      </c>
      <c r="T32" s="631">
        <f t="shared" si="2"/>
        <v>3.2173913043478262</v>
      </c>
      <c r="U32" s="632">
        <f t="shared" si="3"/>
        <v>-0.40759687102407005</v>
      </c>
    </row>
    <row r="33" spans="1:21">
      <c r="A33" s="639">
        <v>7010</v>
      </c>
      <c r="B33" s="637" t="s">
        <v>681</v>
      </c>
      <c r="C33" s="634">
        <f t="shared" ref="C33:N33" si="17">+C156</f>
        <v>16630787.35</v>
      </c>
      <c r="D33" s="634">
        <f t="shared" si="17"/>
        <v>12654118.939999999</v>
      </c>
      <c r="E33" s="634">
        <f t="shared" si="17"/>
        <v>39262682.43</v>
      </c>
      <c r="F33" s="634">
        <f t="shared" si="17"/>
        <v>11600481.609999999</v>
      </c>
      <c r="G33" s="634">
        <f t="shared" si="17"/>
        <v>26407228.719999999</v>
      </c>
      <c r="H33" s="634">
        <f t="shared" si="17"/>
        <v>22320077.199999999</v>
      </c>
      <c r="I33" s="634">
        <f t="shared" si="17"/>
        <v>7057161.2999999998</v>
      </c>
      <c r="J33" s="634">
        <f t="shared" si="17"/>
        <v>20599360.210000001</v>
      </c>
      <c r="K33" s="634">
        <f t="shared" si="17"/>
        <v>25481244.84</v>
      </c>
      <c r="L33" s="634">
        <f t="shared" si="17"/>
        <v>21365428.059999999</v>
      </c>
      <c r="M33" s="634">
        <f t="shared" si="17"/>
        <v>17824020.09</v>
      </c>
      <c r="N33" s="634">
        <f t="shared" si="17"/>
        <v>34038697.07</v>
      </c>
      <c r="O33" s="635">
        <f t="shared" si="4"/>
        <v>255241287.82000002</v>
      </c>
      <c r="P33" s="630"/>
      <c r="Q33" s="621"/>
      <c r="R33" s="630">
        <f>+[9]IS!AT33</f>
        <v>15026451.57</v>
      </c>
      <c r="S33" s="621">
        <f>+[9]IS!BL33</f>
        <v>282185878.19</v>
      </c>
      <c r="T33" s="631">
        <f t="shared" si="2"/>
        <v>0.75738287891743417</v>
      </c>
      <c r="U33" s="632">
        <f t="shared" si="3"/>
        <v>-9.5485254410420106E-2</v>
      </c>
    </row>
    <row r="34" spans="1:21">
      <c r="A34" s="639" t="s">
        <v>682</v>
      </c>
      <c r="B34" s="637" t="s">
        <v>1152</v>
      </c>
      <c r="C34" s="634">
        <f>+C182+C183</f>
        <v>64131114.770000003</v>
      </c>
      <c r="D34" s="634">
        <f>+D182+D183</f>
        <v>109839553.59999999</v>
      </c>
      <c r="E34" s="634">
        <f t="shared" ref="E34:N34" si="18">+E118+E182+E183</f>
        <v>83571514.959999993</v>
      </c>
      <c r="F34" s="634">
        <f t="shared" si="18"/>
        <v>146844163.82999998</v>
      </c>
      <c r="G34" s="634">
        <f t="shared" si="18"/>
        <v>94023049.160000011</v>
      </c>
      <c r="H34" s="634">
        <f t="shared" si="18"/>
        <v>70092575.719999999</v>
      </c>
      <c r="I34" s="634">
        <f t="shared" si="18"/>
        <v>74145509.560000002</v>
      </c>
      <c r="J34" s="634">
        <f t="shared" si="18"/>
        <v>104054244.28</v>
      </c>
      <c r="K34" s="634">
        <f t="shared" si="18"/>
        <v>107508952.24000001</v>
      </c>
      <c r="L34" s="634">
        <f t="shared" si="18"/>
        <v>127655107.79000001</v>
      </c>
      <c r="M34" s="634">
        <f t="shared" si="18"/>
        <v>111244567.06999999</v>
      </c>
      <c r="N34" s="634">
        <f t="shared" si="18"/>
        <v>132617217.92</v>
      </c>
      <c r="O34" s="635">
        <f t="shared" si="4"/>
        <v>1225727570.8999999</v>
      </c>
      <c r="P34" s="646">
        <f>+O34/O10</f>
        <v>9.7574630226267139E-3</v>
      </c>
      <c r="Q34" s="621"/>
      <c r="R34" s="630">
        <f>+[9]IS!AT34</f>
        <v>73030062.569999993</v>
      </c>
      <c r="S34" s="621">
        <f>+[9]IS!BL34</f>
        <v>1460292203.2783999</v>
      </c>
      <c r="T34" s="644">
        <f t="shared" si="2"/>
        <v>0.28745677945815862</v>
      </c>
      <c r="U34" s="632">
        <f t="shared" si="3"/>
        <v>-0.1606285590320865</v>
      </c>
    </row>
    <row r="35" spans="1:21">
      <c r="A35" s="639">
        <v>7303</v>
      </c>
      <c r="B35" s="637" t="s">
        <v>1153</v>
      </c>
      <c r="C35" s="645"/>
      <c r="D35" s="645"/>
      <c r="E35" s="645"/>
      <c r="F35" s="645"/>
      <c r="G35" s="645"/>
      <c r="H35" s="645"/>
      <c r="I35" s="645"/>
      <c r="J35" s="645"/>
      <c r="K35" s="645"/>
      <c r="L35" s="645"/>
      <c r="M35" s="645"/>
      <c r="N35" s="645"/>
      <c r="O35" s="635">
        <f t="shared" si="4"/>
        <v>0</v>
      </c>
      <c r="P35" s="630"/>
      <c r="Q35" s="621"/>
      <c r="R35" s="630">
        <f>+[9]IS!AT35</f>
        <v>0</v>
      </c>
      <c r="S35" s="621">
        <f>+[9]IS!BL35</f>
        <v>13028950</v>
      </c>
      <c r="T35" s="631" t="e">
        <f t="shared" si="2"/>
        <v>#DIV/0!</v>
      </c>
      <c r="U35" s="632">
        <f t="shared" si="3"/>
        <v>-1</v>
      </c>
    </row>
    <row r="36" spans="1:21">
      <c r="A36" s="639">
        <v>7308</v>
      </c>
      <c r="B36" s="637" t="s">
        <v>683</v>
      </c>
      <c r="C36" s="634">
        <f t="shared" ref="C36:N36" si="19">+C120</f>
        <v>107890002.86</v>
      </c>
      <c r="D36" s="634">
        <f t="shared" si="19"/>
        <v>59577177.909999996</v>
      </c>
      <c r="E36" s="634">
        <f t="shared" si="19"/>
        <v>67809560.799999997</v>
      </c>
      <c r="F36" s="634">
        <f t="shared" si="19"/>
        <v>89780334.459999993</v>
      </c>
      <c r="G36" s="634">
        <f t="shared" si="19"/>
        <v>198992757.63</v>
      </c>
      <c r="H36" s="634">
        <f t="shared" si="19"/>
        <v>304386865.31</v>
      </c>
      <c r="I36" s="634">
        <f t="shared" si="19"/>
        <v>572299413.60000002</v>
      </c>
      <c r="J36" s="634">
        <f t="shared" si="19"/>
        <v>1013956535.49</v>
      </c>
      <c r="K36" s="634">
        <f t="shared" si="19"/>
        <v>596042315.82000005</v>
      </c>
      <c r="L36" s="634">
        <f t="shared" si="19"/>
        <v>443193050.43000001</v>
      </c>
      <c r="M36" s="634">
        <f t="shared" si="19"/>
        <v>270771751.58999997</v>
      </c>
      <c r="N36" s="634">
        <f t="shared" si="19"/>
        <v>241398869.30000001</v>
      </c>
      <c r="O36" s="635">
        <f t="shared" si="4"/>
        <v>3966098635.2000008</v>
      </c>
      <c r="P36" s="630"/>
      <c r="Q36" s="621"/>
      <c r="R36" s="630">
        <f>+[9]IS!AT36</f>
        <v>70104090.340000004</v>
      </c>
      <c r="S36" s="621">
        <f>+[9]IS!BL36</f>
        <v>2146200428.2554543</v>
      </c>
      <c r="T36" s="644">
        <f t="shared" si="2"/>
        <v>1.8385327684147792</v>
      </c>
      <c r="U36" s="632">
        <f t="shared" si="3"/>
        <v>0.8479628384120006</v>
      </c>
    </row>
    <row r="37" spans="1:21">
      <c r="A37" s="639">
        <v>7304</v>
      </c>
      <c r="B37" s="637" t="s">
        <v>684</v>
      </c>
      <c r="C37" s="634"/>
      <c r="D37" s="634"/>
      <c r="E37" s="634"/>
      <c r="F37" s="634"/>
      <c r="G37" s="634"/>
      <c r="H37" s="634"/>
      <c r="I37" s="634"/>
      <c r="J37" s="634"/>
      <c r="K37" s="634"/>
      <c r="L37" s="634"/>
      <c r="M37" s="634"/>
      <c r="N37" s="634"/>
      <c r="O37" s="635">
        <f t="shared" si="4"/>
        <v>0</v>
      </c>
      <c r="P37" s="630"/>
      <c r="Q37" s="621"/>
      <c r="R37" s="630">
        <f>+[9]IS!AT37</f>
        <v>0</v>
      </c>
      <c r="S37" s="621">
        <f>+[9]IS!BL37</f>
        <v>0</v>
      </c>
      <c r="T37" s="631" t="e">
        <f t="shared" si="2"/>
        <v>#DIV/0!</v>
      </c>
      <c r="U37" s="632" t="e">
        <f t="shared" si="3"/>
        <v>#DIV/0!</v>
      </c>
    </row>
    <row r="38" spans="1:21">
      <c r="A38" s="639">
        <v>7305</v>
      </c>
      <c r="B38" s="637" t="s">
        <v>685</v>
      </c>
      <c r="C38" s="645">
        <f t="shared" ref="C38:N38" si="20">+C112+C127+C177+C130</f>
        <v>3042562.74</v>
      </c>
      <c r="D38" s="645">
        <f t="shared" si="20"/>
        <v>4544326.07</v>
      </c>
      <c r="E38" s="645">
        <f t="shared" si="20"/>
        <v>14137302.379999999</v>
      </c>
      <c r="F38" s="645">
        <f t="shared" si="20"/>
        <v>13500219.41</v>
      </c>
      <c r="G38" s="645">
        <f t="shared" si="20"/>
        <v>5391562.6500000004</v>
      </c>
      <c r="H38" s="645">
        <f t="shared" si="20"/>
        <v>7435837.3499999996</v>
      </c>
      <c r="I38" s="645">
        <f t="shared" si="20"/>
        <v>9689864.3300000001</v>
      </c>
      <c r="J38" s="645">
        <f t="shared" si="20"/>
        <v>15456063.52</v>
      </c>
      <c r="K38" s="645">
        <f t="shared" si="20"/>
        <v>12641782.060000001</v>
      </c>
      <c r="L38" s="645">
        <f t="shared" si="20"/>
        <v>16431536.34</v>
      </c>
      <c r="M38" s="645">
        <f t="shared" si="20"/>
        <v>6137293.04</v>
      </c>
      <c r="N38" s="645">
        <f t="shared" si="20"/>
        <v>10790833.010000002</v>
      </c>
      <c r="O38" s="635">
        <f t="shared" si="4"/>
        <v>119199182.90000001</v>
      </c>
      <c r="P38" s="630"/>
      <c r="Q38" s="621"/>
      <c r="R38" s="630">
        <f>+[9]IS!AT38</f>
        <v>13213807.109999999</v>
      </c>
      <c r="S38" s="621">
        <f>+[9]IS!BL38</f>
        <v>179599592.25500003</v>
      </c>
      <c r="T38" s="631">
        <f t="shared" si="2"/>
        <v>-0.59197507538007343</v>
      </c>
      <c r="U38" s="632">
        <f t="shared" si="3"/>
        <v>-0.33630593809612885</v>
      </c>
    </row>
    <row r="39" spans="1:21">
      <c r="A39" s="639" t="s">
        <v>686</v>
      </c>
      <c r="B39" s="637" t="s">
        <v>687</v>
      </c>
      <c r="C39" s="634">
        <f t="shared" ref="C39:N39" si="21">+C154</f>
        <v>15400</v>
      </c>
      <c r="D39" s="634">
        <f t="shared" si="21"/>
        <v>436363.64</v>
      </c>
      <c r="E39" s="634">
        <f t="shared" si="21"/>
        <v>75454.55</v>
      </c>
      <c r="F39" s="634">
        <f t="shared" si="21"/>
        <v>341436.37</v>
      </c>
      <c r="G39" s="634">
        <f t="shared" si="21"/>
        <v>12703257.640000001</v>
      </c>
      <c r="H39" s="634">
        <f t="shared" si="21"/>
        <v>0</v>
      </c>
      <c r="I39" s="634">
        <f t="shared" si="21"/>
        <v>3468801.46</v>
      </c>
      <c r="J39" s="634">
        <f t="shared" si="21"/>
        <v>1375500</v>
      </c>
      <c r="K39" s="634">
        <f t="shared" si="21"/>
        <v>330000</v>
      </c>
      <c r="L39" s="634">
        <f t="shared" si="21"/>
        <v>56545.45</v>
      </c>
      <c r="M39" s="634">
        <f t="shared" si="21"/>
        <v>190000</v>
      </c>
      <c r="N39" s="634">
        <f t="shared" si="21"/>
        <v>672727.27</v>
      </c>
      <c r="O39" s="635">
        <f t="shared" si="4"/>
        <v>19665486.379999999</v>
      </c>
      <c r="P39" s="630"/>
      <c r="Q39" s="621"/>
      <c r="R39" s="630">
        <f>+[9]IS!AT39</f>
        <v>290909.09000000003</v>
      </c>
      <c r="S39" s="621">
        <f>+[9]IS!BL39</f>
        <v>16343573.000000002</v>
      </c>
      <c r="T39" s="631">
        <f t="shared" si="2"/>
        <v>42.667448273960773</v>
      </c>
      <c r="U39" s="632">
        <f t="shared" si="3"/>
        <v>0.20325502752672242</v>
      </c>
    </row>
    <row r="40" spans="1:21">
      <c r="A40" s="639">
        <v>7201</v>
      </c>
      <c r="B40" s="637" t="s">
        <v>405</v>
      </c>
      <c r="C40" s="634">
        <f t="shared" ref="C40:M40" si="22">+C171+C172+C173+C175+C176+C174+C170</f>
        <v>52324671.039999999</v>
      </c>
      <c r="D40" s="634">
        <f t="shared" si="22"/>
        <v>51555811.049999997</v>
      </c>
      <c r="E40" s="634">
        <f t="shared" si="22"/>
        <v>52224929.729999997</v>
      </c>
      <c r="F40" s="634">
        <f t="shared" si="22"/>
        <v>51494705.759999998</v>
      </c>
      <c r="G40" s="634">
        <f t="shared" si="22"/>
        <v>51475648.867272727</v>
      </c>
      <c r="H40" s="634">
        <f t="shared" si="22"/>
        <v>52495591.767272733</v>
      </c>
      <c r="I40" s="634">
        <f t="shared" si="22"/>
        <v>54215630.840000004</v>
      </c>
      <c r="J40" s="634">
        <f t="shared" si="22"/>
        <v>59857735.649999999</v>
      </c>
      <c r="K40" s="634">
        <f t="shared" si="22"/>
        <v>81658890.689999998</v>
      </c>
      <c r="L40" s="634">
        <f t="shared" si="22"/>
        <v>77325616.359999999</v>
      </c>
      <c r="M40" s="634">
        <f t="shared" si="22"/>
        <v>83843789</v>
      </c>
      <c r="N40" s="634">
        <f>+N171+N172+N173+N175+N176+N174+N170</f>
        <v>85604797.090000004</v>
      </c>
      <c r="O40" s="635">
        <f t="shared" si="4"/>
        <v>754077817.84454536</v>
      </c>
      <c r="P40" s="630"/>
      <c r="Q40" s="621"/>
      <c r="R40" s="630">
        <f>+[9]IS!AT40</f>
        <v>29768867.960000001</v>
      </c>
      <c r="S40" s="621">
        <f>+[9]IS!BL40</f>
        <v>488130890.87279999</v>
      </c>
      <c r="T40" s="644">
        <f t="shared" si="2"/>
        <v>0.72917723765780473</v>
      </c>
      <c r="U40" s="632">
        <f t="shared" si="3"/>
        <v>0.54482707803273889</v>
      </c>
    </row>
    <row r="41" spans="1:21">
      <c r="A41" s="639">
        <v>7202</v>
      </c>
      <c r="B41" s="637" t="s">
        <v>402</v>
      </c>
      <c r="C41" s="645">
        <f t="shared" ref="C41:N41" si="23">+C121+C122+C123+C160+C161+C162</f>
        <v>4683641.9000000004</v>
      </c>
      <c r="D41" s="645">
        <f t="shared" si="23"/>
        <v>18412675.359999999</v>
      </c>
      <c r="E41" s="645">
        <f t="shared" si="23"/>
        <v>17854537.080000002</v>
      </c>
      <c r="F41" s="645">
        <f t="shared" si="23"/>
        <v>16152699.800000001</v>
      </c>
      <c r="G41" s="645">
        <f t="shared" si="23"/>
        <v>30242144.710000001</v>
      </c>
      <c r="H41" s="645">
        <f t="shared" si="23"/>
        <v>33305596.050000001</v>
      </c>
      <c r="I41" s="645">
        <f t="shared" si="23"/>
        <v>14158512.23</v>
      </c>
      <c r="J41" s="645">
        <f t="shared" si="23"/>
        <v>26020273.880000003</v>
      </c>
      <c r="K41" s="645">
        <f t="shared" si="23"/>
        <v>16901526.219999999</v>
      </c>
      <c r="L41" s="645">
        <f t="shared" si="23"/>
        <v>22719466.410000004</v>
      </c>
      <c r="M41" s="645">
        <f t="shared" si="23"/>
        <v>18708734</v>
      </c>
      <c r="N41" s="645">
        <f t="shared" si="23"/>
        <v>50557520.340000004</v>
      </c>
      <c r="O41" s="635">
        <f t="shared" si="4"/>
        <v>269717327.98000002</v>
      </c>
      <c r="P41" s="630"/>
      <c r="Q41" s="621"/>
      <c r="R41" s="630">
        <f>+[9]IS!AT41</f>
        <v>15012915.530000001</v>
      </c>
      <c r="S41" s="621">
        <f>+[9]IS!BL41</f>
        <v>189224629.891</v>
      </c>
      <c r="T41" s="631">
        <f t="shared" si="2"/>
        <v>1.0144085037691544</v>
      </c>
      <c r="U41" s="632">
        <f t="shared" si="3"/>
        <v>0.42538171767262334</v>
      </c>
    </row>
    <row r="42" spans="1:21">
      <c r="A42" s="639">
        <v>7206</v>
      </c>
      <c r="B42" s="637" t="s">
        <v>688</v>
      </c>
      <c r="C42" s="634">
        <f t="shared" ref="C42:N42" si="24">+C111+C137</f>
        <v>44719737.379999995</v>
      </c>
      <c r="D42" s="634">
        <f t="shared" si="24"/>
        <v>31216838.940000001</v>
      </c>
      <c r="E42" s="634">
        <f t="shared" si="24"/>
        <v>18735702.050000001</v>
      </c>
      <c r="F42" s="634">
        <f t="shared" si="24"/>
        <v>36970279.039999999</v>
      </c>
      <c r="G42" s="634">
        <f t="shared" si="24"/>
        <v>53457025.620000005</v>
      </c>
      <c r="H42" s="634">
        <f t="shared" si="24"/>
        <v>22075771.399999999</v>
      </c>
      <c r="I42" s="634">
        <f t="shared" si="24"/>
        <v>33659256.619999997</v>
      </c>
      <c r="J42" s="634">
        <f t="shared" si="24"/>
        <v>47790538.189999998</v>
      </c>
      <c r="K42" s="634">
        <f t="shared" si="24"/>
        <v>66297294.239999995</v>
      </c>
      <c r="L42" s="634">
        <f t="shared" si="24"/>
        <v>60165513.200000003</v>
      </c>
      <c r="M42" s="634">
        <f t="shared" si="24"/>
        <v>69163273.700000003</v>
      </c>
      <c r="N42" s="634">
        <f t="shared" si="24"/>
        <v>51388188.290000007</v>
      </c>
      <c r="O42" s="635">
        <f t="shared" si="4"/>
        <v>535639418.67000002</v>
      </c>
      <c r="P42" s="630"/>
      <c r="Q42" s="621"/>
      <c r="R42" s="630">
        <f>+[9]IS!AT42</f>
        <v>24879542.34</v>
      </c>
      <c r="S42" s="621">
        <f>+[9]IS!BL42</f>
        <v>352424278.07999998</v>
      </c>
      <c r="T42" s="644">
        <f t="shared" si="2"/>
        <v>1.1486338007936205</v>
      </c>
      <c r="U42" s="632">
        <f t="shared" si="3"/>
        <v>0.51987093961900754</v>
      </c>
    </row>
    <row r="43" spans="1:21">
      <c r="A43" s="639">
        <v>7207</v>
      </c>
      <c r="B43" s="647" t="s">
        <v>689</v>
      </c>
      <c r="C43" s="634"/>
      <c r="D43" s="634"/>
      <c r="E43" s="634"/>
      <c r="F43" s="634"/>
      <c r="G43" s="634"/>
      <c r="H43" s="634"/>
      <c r="I43" s="634"/>
      <c r="J43" s="634"/>
      <c r="K43" s="634"/>
      <c r="L43" s="634"/>
      <c r="M43" s="634"/>
      <c r="N43" s="634"/>
      <c r="O43" s="635">
        <f t="shared" si="4"/>
        <v>0</v>
      </c>
      <c r="P43" s="630"/>
      <c r="Q43" s="621"/>
      <c r="R43" s="630">
        <f>+[9]IS!AT43</f>
        <v>0</v>
      </c>
      <c r="S43" s="621">
        <f>+[9]IS!BL43</f>
        <v>3418744.3642000002</v>
      </c>
      <c r="T43" s="631" t="e">
        <f t="shared" si="2"/>
        <v>#DIV/0!</v>
      </c>
      <c r="U43" s="632">
        <f t="shared" si="3"/>
        <v>-1</v>
      </c>
    </row>
    <row r="44" spans="1:21">
      <c r="A44" s="639">
        <v>7208</v>
      </c>
      <c r="B44" s="647" t="s">
        <v>398</v>
      </c>
      <c r="C44" s="634"/>
      <c r="D44" s="634"/>
      <c r="E44" s="634"/>
      <c r="F44" s="634"/>
      <c r="G44" s="634"/>
      <c r="H44" s="634"/>
      <c r="I44" s="634"/>
      <c r="J44" s="634"/>
      <c r="K44" s="634"/>
      <c r="L44" s="634"/>
      <c r="M44" s="634"/>
      <c r="N44" s="634"/>
      <c r="O44" s="635">
        <f t="shared" si="4"/>
        <v>0</v>
      </c>
      <c r="P44" s="630"/>
      <c r="Q44" s="621"/>
      <c r="R44" s="630">
        <f>+[9]IS!AT44</f>
        <v>0</v>
      </c>
      <c r="S44" s="621">
        <f>+[9]IS!BL44</f>
        <v>30853465.626499999</v>
      </c>
      <c r="T44" s="631" t="e">
        <f t="shared" si="2"/>
        <v>#DIV/0!</v>
      </c>
      <c r="U44" s="632">
        <f t="shared" si="3"/>
        <v>-1</v>
      </c>
    </row>
    <row r="45" spans="1:21">
      <c r="A45" s="639">
        <v>7209</v>
      </c>
      <c r="B45" s="637" t="s">
        <v>401</v>
      </c>
      <c r="C45" s="634">
        <f t="shared" ref="C45:N45" si="25">+C159</f>
        <v>3715830</v>
      </c>
      <c r="D45" s="634">
        <f t="shared" si="25"/>
        <v>466200</v>
      </c>
      <c r="E45" s="634">
        <f t="shared" si="25"/>
        <v>824900</v>
      </c>
      <c r="F45" s="634">
        <f t="shared" si="25"/>
        <v>46588777.759999998</v>
      </c>
      <c r="G45" s="634">
        <f t="shared" si="25"/>
        <v>15493151</v>
      </c>
      <c r="H45" s="634">
        <f t="shared" si="25"/>
        <v>34835723.93</v>
      </c>
      <c r="I45" s="634">
        <f t="shared" si="25"/>
        <v>43272795.200000003</v>
      </c>
      <c r="J45" s="634">
        <f t="shared" si="25"/>
        <v>0</v>
      </c>
      <c r="K45" s="634">
        <f t="shared" si="25"/>
        <v>122732578.47</v>
      </c>
      <c r="L45" s="634">
        <f t="shared" si="25"/>
        <v>0</v>
      </c>
      <c r="M45" s="634">
        <f t="shared" si="25"/>
        <v>16660919.48</v>
      </c>
      <c r="N45" s="634">
        <f t="shared" si="25"/>
        <v>29987021.789999999</v>
      </c>
      <c r="O45" s="635">
        <f t="shared" si="4"/>
        <v>314577897.63</v>
      </c>
      <c r="P45" s="630"/>
      <c r="Q45" s="621"/>
      <c r="R45" s="630">
        <f>+[9]IS!AT45</f>
        <v>0</v>
      </c>
      <c r="S45" s="621">
        <f>+[9]IS!BL45</f>
        <v>57823762.627800003</v>
      </c>
      <c r="T45" s="631" t="e">
        <f t="shared" si="2"/>
        <v>#DIV/0!</v>
      </c>
      <c r="U45" s="632">
        <f t="shared" si="3"/>
        <v>4.4402875796041679</v>
      </c>
    </row>
    <row r="46" spans="1:21">
      <c r="A46" s="639">
        <v>7210</v>
      </c>
      <c r="B46" s="637" t="s">
        <v>690</v>
      </c>
      <c r="C46" s="634">
        <f t="shared" ref="C46:N46" si="26">+C165</f>
        <v>316913.67</v>
      </c>
      <c r="D46" s="634">
        <f t="shared" si="26"/>
        <v>528189.44999999995</v>
      </c>
      <c r="E46" s="634">
        <f t="shared" si="26"/>
        <v>316913.67</v>
      </c>
      <c r="F46" s="634">
        <f t="shared" si="26"/>
        <v>316643.67</v>
      </c>
      <c r="G46" s="634">
        <f t="shared" si="26"/>
        <v>316913.67</v>
      </c>
      <c r="H46" s="634">
        <f t="shared" si="26"/>
        <v>316913.67</v>
      </c>
      <c r="I46" s="634">
        <f t="shared" si="26"/>
        <v>316913.67</v>
      </c>
      <c r="J46" s="634">
        <f t="shared" si="26"/>
        <v>316913.67</v>
      </c>
      <c r="K46" s="634">
        <f t="shared" si="26"/>
        <v>211275.78</v>
      </c>
      <c r="L46" s="634">
        <f t="shared" si="26"/>
        <v>211275.78</v>
      </c>
      <c r="M46" s="634">
        <f t="shared" si="26"/>
        <v>211275.78</v>
      </c>
      <c r="N46" s="634">
        <f t="shared" si="26"/>
        <v>211275.78</v>
      </c>
      <c r="O46" s="635">
        <f t="shared" si="4"/>
        <v>3591418.2599999988</v>
      </c>
      <c r="P46" s="630"/>
      <c r="Q46" s="621"/>
      <c r="R46" s="630">
        <f>+[9]IS!AT46</f>
        <v>422551.95</v>
      </c>
      <c r="S46" s="621">
        <f>+[9]IS!BL46</f>
        <v>6188119.1099999994</v>
      </c>
      <c r="T46" s="631">
        <f t="shared" si="2"/>
        <v>-0.2500006922225777</v>
      </c>
      <c r="U46" s="632">
        <f t="shared" si="3"/>
        <v>-0.41962683714405757</v>
      </c>
    </row>
    <row r="47" spans="1:21">
      <c r="A47" s="639">
        <v>7211</v>
      </c>
      <c r="B47" s="637" t="s">
        <v>568</v>
      </c>
      <c r="C47" s="634">
        <f t="shared" ref="C47:N47" si="27">+C166+C164</f>
        <v>3064366.66</v>
      </c>
      <c r="D47" s="634">
        <f t="shared" si="27"/>
        <v>914080.85</v>
      </c>
      <c r="E47" s="634">
        <f t="shared" si="27"/>
        <v>444910.66</v>
      </c>
      <c r="F47" s="634">
        <f t="shared" si="27"/>
        <v>444010.66</v>
      </c>
      <c r="G47" s="634">
        <f t="shared" si="27"/>
        <v>444010.66</v>
      </c>
      <c r="H47" s="634">
        <f t="shared" si="27"/>
        <v>480910.66</v>
      </c>
      <c r="I47" s="634">
        <f t="shared" si="27"/>
        <v>444010.66</v>
      </c>
      <c r="J47" s="634">
        <f t="shared" si="27"/>
        <v>444010.66</v>
      </c>
      <c r="K47" s="634">
        <f t="shared" si="27"/>
        <v>315104.34000000003</v>
      </c>
      <c r="L47" s="634">
        <f t="shared" si="27"/>
        <v>315104.34000000003</v>
      </c>
      <c r="M47" s="634">
        <f t="shared" si="27"/>
        <v>315104.34000000003</v>
      </c>
      <c r="N47" s="634">
        <f t="shared" si="27"/>
        <v>315104.34000000003</v>
      </c>
      <c r="O47" s="635">
        <f t="shared" si="4"/>
        <v>7940728.8300000001</v>
      </c>
      <c r="P47" s="630"/>
      <c r="Q47" s="621"/>
      <c r="R47" s="630">
        <f>+[9]IS!AT47</f>
        <v>682693.54</v>
      </c>
      <c r="S47" s="621">
        <f>+[9]IS!BL47</f>
        <v>11315142.25</v>
      </c>
      <c r="T47" s="631">
        <f t="shared" si="2"/>
        <v>-0.34961936215186695</v>
      </c>
      <c r="U47" s="632">
        <f t="shared" si="3"/>
        <v>-0.29822103385399334</v>
      </c>
    </row>
    <row r="48" spans="1:21">
      <c r="A48" s="639">
        <v>7213</v>
      </c>
      <c r="B48" s="637" t="s">
        <v>691</v>
      </c>
      <c r="C48" s="634">
        <f t="shared" ref="C48:N48" si="28">+C153</f>
        <v>3600000</v>
      </c>
      <c r="D48" s="634">
        <f t="shared" si="28"/>
        <v>3600000</v>
      </c>
      <c r="E48" s="634">
        <f t="shared" si="28"/>
        <v>3600000</v>
      </c>
      <c r="F48" s="634">
        <f t="shared" si="28"/>
        <v>0</v>
      </c>
      <c r="G48" s="634">
        <f t="shared" si="28"/>
        <v>3600000</v>
      </c>
      <c r="H48" s="634">
        <f t="shared" si="28"/>
        <v>3600000</v>
      </c>
      <c r="I48" s="634">
        <f t="shared" si="28"/>
        <v>3600000</v>
      </c>
      <c r="J48" s="634">
        <f t="shared" si="28"/>
        <v>3600000</v>
      </c>
      <c r="K48" s="634">
        <f t="shared" si="28"/>
        <v>3600000</v>
      </c>
      <c r="L48" s="634">
        <f t="shared" si="28"/>
        <v>3600000</v>
      </c>
      <c r="M48" s="634">
        <f t="shared" si="28"/>
        <v>3600000</v>
      </c>
      <c r="N48" s="634">
        <f t="shared" si="28"/>
        <v>10000000</v>
      </c>
      <c r="O48" s="635">
        <f t="shared" si="4"/>
        <v>46000000</v>
      </c>
      <c r="P48" s="630"/>
      <c r="Q48" s="621"/>
      <c r="R48" s="630">
        <f>+[9]IS!AT48</f>
        <v>3600000</v>
      </c>
      <c r="S48" s="621">
        <f>+[9]IS!BL48</f>
        <v>53120265</v>
      </c>
      <c r="T48" s="631">
        <f t="shared" si="2"/>
        <v>0</v>
      </c>
      <c r="U48" s="632">
        <f t="shared" si="3"/>
        <v>-0.13404046459482077</v>
      </c>
    </row>
    <row r="49" spans="1:21">
      <c r="A49" s="639">
        <v>7215</v>
      </c>
      <c r="B49" s="637" t="s">
        <v>1154</v>
      </c>
      <c r="C49" s="643"/>
      <c r="D49" s="643"/>
      <c r="E49" s="643"/>
      <c r="F49" s="643"/>
      <c r="G49" s="643"/>
      <c r="H49" s="643"/>
      <c r="I49" s="643"/>
      <c r="J49" s="643"/>
      <c r="K49" s="643"/>
      <c r="L49" s="643"/>
      <c r="M49" s="643"/>
      <c r="N49" s="643"/>
      <c r="O49" s="635">
        <f t="shared" si="4"/>
        <v>0</v>
      </c>
      <c r="P49" s="630"/>
      <c r="Q49" s="621"/>
      <c r="R49" s="630">
        <f>+[9]IS!AT49</f>
        <v>0</v>
      </c>
      <c r="S49" s="621">
        <f>+[9]IS!BL49</f>
        <v>0</v>
      </c>
      <c r="T49" s="631" t="e">
        <f t="shared" si="2"/>
        <v>#DIV/0!</v>
      </c>
      <c r="U49" s="632" t="e">
        <f t="shared" si="3"/>
        <v>#DIV/0!</v>
      </c>
    </row>
    <row r="50" spans="1:21">
      <c r="A50" s="639">
        <v>7228</v>
      </c>
      <c r="B50" s="637" t="s">
        <v>692</v>
      </c>
      <c r="C50" s="634"/>
      <c r="D50" s="634"/>
      <c r="E50" s="634"/>
      <c r="F50" s="634"/>
      <c r="G50" s="634"/>
      <c r="H50" s="634"/>
      <c r="I50" s="634"/>
      <c r="J50" s="634"/>
      <c r="K50" s="634"/>
      <c r="L50" s="634"/>
      <c r="M50" s="634"/>
      <c r="N50" s="634"/>
      <c r="O50" s="635">
        <f t="shared" si="4"/>
        <v>0</v>
      </c>
      <c r="P50" s="630"/>
      <c r="Q50" s="621"/>
      <c r="R50" s="630">
        <f>+[9]IS!AT50</f>
        <v>0</v>
      </c>
      <c r="S50" s="621">
        <f>+[9]IS!BL50</f>
        <v>0</v>
      </c>
      <c r="T50" s="631" t="e">
        <f t="shared" si="2"/>
        <v>#DIV/0!</v>
      </c>
      <c r="U50" s="632" t="e">
        <f t="shared" si="3"/>
        <v>#DIV/0!</v>
      </c>
    </row>
    <row r="51" spans="1:21">
      <c r="A51" s="639">
        <v>7229</v>
      </c>
      <c r="B51" s="637" t="s">
        <v>693</v>
      </c>
      <c r="C51" s="634">
        <f t="shared" ref="C51:N51" si="29">+C147</f>
        <v>60007158.799999997</v>
      </c>
      <c r="D51" s="634">
        <f t="shared" si="29"/>
        <v>65665674.909999996</v>
      </c>
      <c r="E51" s="634">
        <f t="shared" si="29"/>
        <v>61659530.869999997</v>
      </c>
      <c r="F51" s="634">
        <f t="shared" si="29"/>
        <v>59241457.49000001</v>
      </c>
      <c r="G51" s="634">
        <f t="shared" si="29"/>
        <v>76136443.549999997</v>
      </c>
      <c r="H51" s="634">
        <f t="shared" si="29"/>
        <v>100353844.3</v>
      </c>
      <c r="I51" s="634">
        <f t="shared" si="29"/>
        <v>131098820.52</v>
      </c>
      <c r="J51" s="634">
        <f t="shared" si="29"/>
        <v>214895390.49000001</v>
      </c>
      <c r="K51" s="634">
        <f t="shared" si="29"/>
        <v>167411291.40000001</v>
      </c>
      <c r="L51" s="634">
        <f t="shared" si="29"/>
        <v>150746029.63999999</v>
      </c>
      <c r="M51" s="634">
        <f t="shared" si="29"/>
        <v>123263288.40000001</v>
      </c>
      <c r="N51" s="634">
        <f t="shared" si="29"/>
        <v>127643237.58</v>
      </c>
      <c r="O51" s="635">
        <f t="shared" si="4"/>
        <v>1338122167.95</v>
      </c>
      <c r="P51" s="630"/>
      <c r="Q51" s="621"/>
      <c r="R51" s="630">
        <f>+[9]IS!AT51</f>
        <v>45653549.159999996</v>
      </c>
      <c r="S51" s="621">
        <f>+[9]IS!BL51</f>
        <v>934885229.83270001</v>
      </c>
      <c r="T51" s="631">
        <f t="shared" si="2"/>
        <v>0.66770042966797472</v>
      </c>
      <c r="U51" s="632">
        <f t="shared" si="3"/>
        <v>0.43132239685662843</v>
      </c>
    </row>
    <row r="52" spans="1:21">
      <c r="A52" s="639">
        <v>7230</v>
      </c>
      <c r="B52" s="637" t="s">
        <v>694</v>
      </c>
      <c r="C52" s="634">
        <f t="shared" ref="C52:N52" si="30">+C149</f>
        <v>256100</v>
      </c>
      <c r="D52" s="634">
        <f t="shared" si="30"/>
        <v>491100</v>
      </c>
      <c r="E52" s="634">
        <f t="shared" si="30"/>
        <v>704046</v>
      </c>
      <c r="F52" s="634">
        <f t="shared" si="30"/>
        <v>1694959.11</v>
      </c>
      <c r="G52" s="634">
        <f t="shared" si="30"/>
        <v>1015100</v>
      </c>
      <c r="H52" s="634">
        <f t="shared" si="30"/>
        <v>498600</v>
      </c>
      <c r="I52" s="634">
        <f t="shared" si="30"/>
        <v>642600</v>
      </c>
      <c r="J52" s="634">
        <f t="shared" si="30"/>
        <v>0</v>
      </c>
      <c r="K52" s="634">
        <f t="shared" si="30"/>
        <v>255900</v>
      </c>
      <c r="L52" s="634">
        <f t="shared" si="30"/>
        <v>420000</v>
      </c>
      <c r="M52" s="634">
        <f t="shared" si="30"/>
        <v>90000</v>
      </c>
      <c r="N52" s="634">
        <f t="shared" si="30"/>
        <v>592499.68000000005</v>
      </c>
      <c r="O52" s="635">
        <f t="shared" si="4"/>
        <v>6660904.79</v>
      </c>
      <c r="P52" s="630"/>
      <c r="Q52" s="621"/>
      <c r="R52" s="630">
        <f>+[9]IS!AT52</f>
        <v>144700</v>
      </c>
      <c r="S52" s="621">
        <f>+[9]IS!BL52</f>
        <v>12631231.16</v>
      </c>
      <c r="T52" s="631">
        <f t="shared" si="2"/>
        <v>6.0152038700760198</v>
      </c>
      <c r="U52" s="632">
        <f t="shared" si="3"/>
        <v>-0.47266385155760227</v>
      </c>
    </row>
    <row r="53" spans="1:21">
      <c r="A53" s="639">
        <v>7225</v>
      </c>
      <c r="B53" s="637" t="s">
        <v>695</v>
      </c>
      <c r="C53" s="643">
        <f t="shared" ref="C53:N53" si="31">+C108+C113+C114+C128+C157+C124</f>
        <v>88244377.070000008</v>
      </c>
      <c r="D53" s="643">
        <f t="shared" si="31"/>
        <v>87271418.520000011</v>
      </c>
      <c r="E53" s="643">
        <f t="shared" si="31"/>
        <v>75123562.949999988</v>
      </c>
      <c r="F53" s="643">
        <f t="shared" si="31"/>
        <v>49712457.280000001</v>
      </c>
      <c r="G53" s="643">
        <f t="shared" si="31"/>
        <v>87124059.809999987</v>
      </c>
      <c r="H53" s="643">
        <f t="shared" si="31"/>
        <v>95262950.420000017</v>
      </c>
      <c r="I53" s="643">
        <f t="shared" si="31"/>
        <v>80047970.439999998</v>
      </c>
      <c r="J53" s="643">
        <f t="shared" si="31"/>
        <v>214498857.19999999</v>
      </c>
      <c r="K53" s="643">
        <f>+K108+K113+K114+K128+K157+K124</f>
        <v>163068170.41</v>
      </c>
      <c r="L53" s="643">
        <f t="shared" si="31"/>
        <v>117418048.48000002</v>
      </c>
      <c r="M53" s="643">
        <f t="shared" si="31"/>
        <v>134183127.44</v>
      </c>
      <c r="N53" s="643">
        <f t="shared" si="31"/>
        <v>184927708.34999999</v>
      </c>
      <c r="O53" s="635">
        <f t="shared" si="4"/>
        <v>1376882708.3699999</v>
      </c>
      <c r="P53" s="630"/>
      <c r="Q53" s="621"/>
      <c r="R53" s="630">
        <f>+[9]IS!AT53</f>
        <v>70043007.849999994</v>
      </c>
      <c r="S53" s="621">
        <f>+[9]IS!BL53</f>
        <v>987790746.57410002</v>
      </c>
      <c r="T53" s="644">
        <f t="shared" si="2"/>
        <v>0.24386519774507365</v>
      </c>
      <c r="U53" s="632">
        <f t="shared" si="3"/>
        <v>0.39390120138841755</v>
      </c>
    </row>
    <row r="54" spans="1:21">
      <c r="A54" s="639">
        <v>7226</v>
      </c>
      <c r="B54" s="637" t="s">
        <v>407</v>
      </c>
      <c r="C54" s="634"/>
      <c r="D54" s="634"/>
      <c r="E54" s="634"/>
      <c r="F54" s="634"/>
      <c r="G54" s="634"/>
      <c r="H54" s="634"/>
      <c r="I54" s="634"/>
      <c r="J54" s="634"/>
      <c r="K54" s="634"/>
      <c r="L54" s="634"/>
      <c r="M54" s="634"/>
      <c r="N54" s="634"/>
      <c r="O54" s="635">
        <f t="shared" si="4"/>
        <v>0</v>
      </c>
      <c r="P54" s="630"/>
      <c r="Q54" s="621"/>
      <c r="R54" s="630">
        <f>+[9]IS!AT54</f>
        <v>0</v>
      </c>
      <c r="S54" s="621">
        <f>+[9]IS!BL54</f>
        <v>0</v>
      </c>
      <c r="T54" s="631" t="e">
        <f t="shared" si="2"/>
        <v>#DIV/0!</v>
      </c>
      <c r="U54" s="632" t="e">
        <f t="shared" si="3"/>
        <v>#DIV/0!</v>
      </c>
    </row>
    <row r="55" spans="1:21">
      <c r="A55" s="639">
        <v>7227</v>
      </c>
      <c r="B55" s="637" t="s">
        <v>696</v>
      </c>
      <c r="C55" s="634"/>
      <c r="D55" s="634"/>
      <c r="E55" s="634"/>
      <c r="F55" s="634"/>
      <c r="G55" s="634"/>
      <c r="H55" s="634"/>
      <c r="I55" s="634"/>
      <c r="J55" s="634"/>
      <c r="K55" s="634"/>
      <c r="L55" s="634"/>
      <c r="M55" s="634"/>
      <c r="N55" s="634"/>
      <c r="O55" s="635">
        <f t="shared" si="4"/>
        <v>0</v>
      </c>
      <c r="P55" s="630"/>
      <c r="Q55" s="621"/>
      <c r="R55" s="630">
        <f>+[9]IS!AT55</f>
        <v>0</v>
      </c>
      <c r="S55" s="621">
        <f>+[9]IS!BL55</f>
        <v>0</v>
      </c>
      <c r="T55" s="631" t="e">
        <f t="shared" si="2"/>
        <v>#DIV/0!</v>
      </c>
      <c r="U55" s="632" t="e">
        <f t="shared" si="3"/>
        <v>#DIV/0!</v>
      </c>
    </row>
    <row r="56" spans="1:21">
      <c r="A56" s="639">
        <v>7218</v>
      </c>
      <c r="B56" s="637" t="s">
        <v>697</v>
      </c>
      <c r="C56" s="634">
        <f t="shared" ref="C56:N56" si="32">+C163</f>
        <v>18409090.899999999</v>
      </c>
      <c r="D56" s="634">
        <f t="shared" si="32"/>
        <v>21900000</v>
      </c>
      <c r="E56" s="634">
        <f t="shared" si="32"/>
        <v>21860000</v>
      </c>
      <c r="F56" s="634">
        <f t="shared" si="32"/>
        <v>21880000</v>
      </c>
      <c r="G56" s="634">
        <f t="shared" si="32"/>
        <v>21900000</v>
      </c>
      <c r="H56" s="634">
        <f t="shared" si="32"/>
        <v>21900000</v>
      </c>
      <c r="I56" s="634">
        <f t="shared" si="32"/>
        <v>21900000</v>
      </c>
      <c r="J56" s="634">
        <f t="shared" si="32"/>
        <v>22350000</v>
      </c>
      <c r="K56" s="634">
        <f t="shared" si="32"/>
        <v>21900000</v>
      </c>
      <c r="L56" s="634">
        <f t="shared" si="32"/>
        <v>22525000</v>
      </c>
      <c r="M56" s="634">
        <f t="shared" si="32"/>
        <v>21900000</v>
      </c>
      <c r="N56" s="634">
        <f t="shared" si="32"/>
        <v>21422499</v>
      </c>
      <c r="O56" s="635">
        <f t="shared" si="4"/>
        <v>259846589.90000001</v>
      </c>
      <c r="P56" s="630"/>
      <c r="Q56" s="621"/>
      <c r="R56" s="630">
        <f>+[9]IS!AT56</f>
        <v>15545454.550000001</v>
      </c>
      <c r="S56" s="621">
        <f>+[9]IS!BL56</f>
        <v>195702262.73454544</v>
      </c>
      <c r="T56" s="631">
        <f t="shared" si="2"/>
        <v>0.40877192941263973</v>
      </c>
      <c r="U56" s="632">
        <f t="shared" si="3"/>
        <v>0.32776487235848295</v>
      </c>
    </row>
    <row r="57" spans="1:21">
      <c r="A57" s="639">
        <v>7223</v>
      </c>
      <c r="B57" s="637" t="s">
        <v>698</v>
      </c>
      <c r="C57" s="634"/>
      <c r="D57" s="634"/>
      <c r="E57" s="634"/>
      <c r="F57" s="634"/>
      <c r="G57" s="634"/>
      <c r="H57" s="634"/>
      <c r="I57" s="634"/>
      <c r="J57" s="634"/>
      <c r="K57" s="634"/>
      <c r="L57" s="634"/>
      <c r="M57" s="634"/>
      <c r="N57" s="634"/>
      <c r="O57" s="635">
        <f t="shared" si="4"/>
        <v>0</v>
      </c>
      <c r="P57" s="630"/>
      <c r="Q57" s="621"/>
      <c r="R57" s="630">
        <f>+[9]IS!AT57</f>
        <v>0</v>
      </c>
      <c r="S57" s="621">
        <f>+[9]IS!BL57</f>
        <v>0</v>
      </c>
      <c r="T57" s="631" t="e">
        <f t="shared" si="2"/>
        <v>#DIV/0!</v>
      </c>
      <c r="U57" s="632" t="e">
        <f t="shared" si="3"/>
        <v>#DIV/0!</v>
      </c>
    </row>
    <row r="58" spans="1:21">
      <c r="A58" s="639">
        <v>7011</v>
      </c>
      <c r="B58" s="637" t="s">
        <v>699</v>
      </c>
      <c r="C58" s="634"/>
      <c r="D58" s="634"/>
      <c r="E58" s="634"/>
      <c r="F58" s="634"/>
      <c r="G58" s="634"/>
      <c r="H58" s="634"/>
      <c r="I58" s="634"/>
      <c r="J58" s="634"/>
      <c r="K58" s="634"/>
      <c r="L58" s="634"/>
      <c r="M58" s="634"/>
      <c r="N58" s="634"/>
      <c r="O58" s="635">
        <f t="shared" si="4"/>
        <v>0</v>
      </c>
      <c r="P58" s="630"/>
      <c r="Q58" s="621"/>
      <c r="R58" s="630">
        <f>+[9]IS!AT58</f>
        <v>0</v>
      </c>
      <c r="S58" s="621">
        <f>+[9]IS!BL58</f>
        <v>0</v>
      </c>
      <c r="T58" s="631" t="e">
        <f t="shared" si="2"/>
        <v>#DIV/0!</v>
      </c>
      <c r="U58" s="632" t="e">
        <f t="shared" si="3"/>
        <v>#DIV/0!</v>
      </c>
    </row>
    <row r="59" spans="1:21">
      <c r="A59" s="639">
        <v>7224</v>
      </c>
      <c r="B59" s="637" t="s">
        <v>700</v>
      </c>
      <c r="C59" s="634">
        <f t="shared" ref="C59:N59" si="33">+C151+C146+C148+C152-C44</f>
        <v>1354937.55</v>
      </c>
      <c r="D59" s="634">
        <f t="shared" si="33"/>
        <v>1511571.82</v>
      </c>
      <c r="E59" s="634">
        <f t="shared" si="33"/>
        <v>17436027.359999999</v>
      </c>
      <c r="F59" s="634">
        <f t="shared" si="33"/>
        <v>4306594.28</v>
      </c>
      <c r="G59" s="634">
        <f t="shared" si="33"/>
        <v>1477530</v>
      </c>
      <c r="H59" s="634">
        <f t="shared" si="33"/>
        <v>3520895.1799999997</v>
      </c>
      <c r="I59" s="634">
        <f t="shared" si="33"/>
        <v>2095435.17</v>
      </c>
      <c r="J59" s="634">
        <f t="shared" si="33"/>
        <v>2511291</v>
      </c>
      <c r="K59" s="634">
        <f t="shared" si="33"/>
        <v>3027041.17</v>
      </c>
      <c r="L59" s="634">
        <f t="shared" si="33"/>
        <v>1948663.09</v>
      </c>
      <c r="M59" s="634">
        <f t="shared" si="33"/>
        <v>1477604.35</v>
      </c>
      <c r="N59" s="634">
        <f t="shared" si="33"/>
        <v>3109018.17</v>
      </c>
      <c r="O59" s="635">
        <f t="shared" si="4"/>
        <v>43776609.140000008</v>
      </c>
      <c r="P59" s="630"/>
      <c r="Q59" s="621"/>
      <c r="R59" s="630">
        <f>+[9]IS!AT59</f>
        <v>2241461.27</v>
      </c>
      <c r="S59" s="621">
        <f>+[9]IS!BL59</f>
        <v>43582386.959999993</v>
      </c>
      <c r="T59" s="631">
        <f t="shared" si="2"/>
        <v>-0.34081841173191452</v>
      </c>
      <c r="U59" s="632">
        <f t="shared" si="3"/>
        <v>4.4564374176723209E-3</v>
      </c>
    </row>
    <row r="60" spans="1:21">
      <c r="A60" s="639">
        <v>7012</v>
      </c>
      <c r="B60" s="637" t="s">
        <v>701</v>
      </c>
      <c r="C60" s="634"/>
      <c r="D60" s="634"/>
      <c r="E60" s="634"/>
      <c r="F60" s="634"/>
      <c r="G60" s="634"/>
      <c r="H60" s="634"/>
      <c r="I60" s="634"/>
      <c r="J60" s="634"/>
      <c r="K60" s="634"/>
      <c r="L60" s="634"/>
      <c r="M60" s="634"/>
      <c r="N60" s="634"/>
      <c r="O60" s="635">
        <f t="shared" si="4"/>
        <v>0</v>
      </c>
      <c r="P60" s="630"/>
      <c r="Q60" s="621"/>
      <c r="R60" s="630">
        <f>+[9]IS!AT60</f>
        <v>0</v>
      </c>
      <c r="S60" s="621">
        <f>+[9]IS!BL60</f>
        <v>0</v>
      </c>
      <c r="T60" s="631" t="e">
        <f t="shared" si="2"/>
        <v>#DIV/0!</v>
      </c>
      <c r="U60" s="632" t="e">
        <f t="shared" si="3"/>
        <v>#DIV/0!</v>
      </c>
    </row>
    <row r="61" spans="1:21">
      <c r="A61" s="639">
        <v>7013</v>
      </c>
      <c r="B61" s="637" t="s">
        <v>702</v>
      </c>
      <c r="C61" s="634"/>
      <c r="D61" s="634"/>
      <c r="E61" s="634"/>
      <c r="F61" s="634"/>
      <c r="G61" s="634"/>
      <c r="H61" s="634"/>
      <c r="I61" s="634"/>
      <c r="J61" s="634"/>
      <c r="K61" s="634"/>
      <c r="L61" s="634"/>
      <c r="M61" s="634"/>
      <c r="N61" s="634"/>
      <c r="O61" s="635">
        <f t="shared" si="4"/>
        <v>0</v>
      </c>
      <c r="P61" s="630"/>
      <c r="Q61" s="621"/>
      <c r="R61" s="630">
        <f>+[9]IS!AT61</f>
        <v>0</v>
      </c>
      <c r="S61" s="621">
        <f>+[9]IS!BL61</f>
        <v>0</v>
      </c>
      <c r="T61" s="631" t="e">
        <f t="shared" si="2"/>
        <v>#DIV/0!</v>
      </c>
      <c r="U61" s="632" t="e">
        <f t="shared" si="3"/>
        <v>#DIV/0!</v>
      </c>
    </row>
    <row r="62" spans="1:21">
      <c r="A62" s="639">
        <v>7014</v>
      </c>
      <c r="B62" s="637" t="s">
        <v>703</v>
      </c>
      <c r="C62" s="634">
        <f t="shared" ref="C62:N62" si="34">+C215</f>
        <v>0</v>
      </c>
      <c r="D62" s="634">
        <f t="shared" si="34"/>
        <v>9950542</v>
      </c>
      <c r="E62" s="634">
        <f t="shared" si="34"/>
        <v>0</v>
      </c>
      <c r="F62" s="634">
        <f t="shared" si="34"/>
        <v>0</v>
      </c>
      <c r="G62" s="634">
        <f t="shared" si="34"/>
        <v>0</v>
      </c>
      <c r="H62" s="634">
        <f t="shared" si="34"/>
        <v>0</v>
      </c>
      <c r="I62" s="634">
        <f t="shared" si="34"/>
        <v>0</v>
      </c>
      <c r="J62" s="634">
        <f t="shared" si="34"/>
        <v>0</v>
      </c>
      <c r="K62" s="634">
        <f t="shared" si="34"/>
        <v>0</v>
      </c>
      <c r="L62" s="634">
        <f t="shared" si="34"/>
        <v>0</v>
      </c>
      <c r="M62" s="634">
        <f t="shared" si="34"/>
        <v>0</v>
      </c>
      <c r="N62" s="634">
        <f t="shared" si="34"/>
        <v>0</v>
      </c>
      <c r="O62" s="635">
        <f t="shared" si="4"/>
        <v>9950542</v>
      </c>
      <c r="P62" s="630"/>
      <c r="Q62" s="621"/>
      <c r="R62" s="630">
        <f>+[9]IS!AT62</f>
        <v>15360000</v>
      </c>
      <c r="S62" s="621">
        <f>+[9]IS!BL62</f>
        <v>62413244.700000003</v>
      </c>
      <c r="T62" s="631">
        <f t="shared" si="2"/>
        <v>-1</v>
      </c>
      <c r="U62" s="632">
        <f t="shared" si="3"/>
        <v>-0.8405700256759765</v>
      </c>
    </row>
    <row r="63" spans="1:21">
      <c r="A63" s="639">
        <v>7221</v>
      </c>
      <c r="B63" s="637" t="s">
        <v>704</v>
      </c>
      <c r="C63" s="634"/>
      <c r="D63" s="634"/>
      <c r="E63" s="634"/>
      <c r="F63" s="634"/>
      <c r="G63" s="634"/>
      <c r="H63" s="634"/>
      <c r="I63" s="634"/>
      <c r="J63" s="634"/>
      <c r="K63" s="634"/>
      <c r="L63" s="634"/>
      <c r="M63" s="634"/>
      <c r="N63" s="634"/>
      <c r="O63" s="635">
        <f t="shared" si="4"/>
        <v>0</v>
      </c>
      <c r="P63" s="630"/>
      <c r="Q63" s="621"/>
      <c r="R63" s="630">
        <f>+[9]IS!AT63</f>
        <v>0</v>
      </c>
      <c r="S63" s="621">
        <f>+[9]IS!BL63</f>
        <v>812224.74300000002</v>
      </c>
      <c r="T63" s="631" t="e">
        <f t="shared" si="2"/>
        <v>#DIV/0!</v>
      </c>
      <c r="U63" s="632">
        <f t="shared" si="3"/>
        <v>-1</v>
      </c>
    </row>
    <row r="64" spans="1:21">
      <c r="A64" s="639">
        <v>7222</v>
      </c>
      <c r="B64" s="637" t="s">
        <v>705</v>
      </c>
      <c r="C64" s="634"/>
      <c r="D64" s="634"/>
      <c r="E64" s="634"/>
      <c r="F64" s="634"/>
      <c r="G64" s="634"/>
      <c r="H64" s="634"/>
      <c r="I64" s="634"/>
      <c r="J64" s="634"/>
      <c r="K64" s="634"/>
      <c r="L64" s="634"/>
      <c r="M64" s="634"/>
      <c r="N64" s="634"/>
      <c r="O64" s="635">
        <f t="shared" si="4"/>
        <v>0</v>
      </c>
      <c r="P64" s="630"/>
      <c r="Q64" s="621"/>
      <c r="R64" s="630">
        <f>+[9]IS!AT64</f>
        <v>0</v>
      </c>
      <c r="S64" s="621">
        <f>+[9]IS!BL64</f>
        <v>0</v>
      </c>
      <c r="T64" s="631" t="e">
        <f t="shared" si="2"/>
        <v>#DIV/0!</v>
      </c>
      <c r="U64" s="632" t="e">
        <f t="shared" si="3"/>
        <v>#DIV/0!</v>
      </c>
    </row>
    <row r="65" spans="1:25">
      <c r="A65" s="639">
        <v>7220</v>
      </c>
      <c r="B65" s="637" t="s">
        <v>706</v>
      </c>
      <c r="C65" s="634"/>
      <c r="D65" s="634"/>
      <c r="E65" s="634"/>
      <c r="F65" s="634"/>
      <c r="G65" s="634"/>
      <c r="H65" s="634"/>
      <c r="I65" s="634"/>
      <c r="J65" s="634"/>
      <c r="K65" s="634"/>
      <c r="L65" s="634"/>
      <c r="M65" s="634"/>
      <c r="N65" s="634"/>
      <c r="O65" s="635">
        <f t="shared" si="4"/>
        <v>0</v>
      </c>
      <c r="P65" s="630"/>
      <c r="Q65" s="621"/>
      <c r="R65" s="630">
        <f>+[9]IS!AT65</f>
        <v>0</v>
      </c>
      <c r="S65" s="621">
        <f>+[9]IS!BL65</f>
        <v>0</v>
      </c>
      <c r="T65" s="631" t="e">
        <f t="shared" si="2"/>
        <v>#DIV/0!</v>
      </c>
      <c r="U65" s="632" t="e">
        <f t="shared" si="3"/>
        <v>#DIV/0!</v>
      </c>
    </row>
    <row r="66" spans="1:25" s="622" customFormat="1">
      <c r="A66" s="627"/>
      <c r="B66" s="642" t="s">
        <v>707</v>
      </c>
      <c r="C66" s="629">
        <f t="shared" ref="C66:N66" si="35">C22-C23</f>
        <v>1790325458.6500006</v>
      </c>
      <c r="D66" s="629">
        <f t="shared" si="35"/>
        <v>2184661411.4099989</v>
      </c>
      <c r="E66" s="629">
        <f t="shared" si="35"/>
        <v>444720313.88999975</v>
      </c>
      <c r="F66" s="629">
        <f t="shared" si="35"/>
        <v>657070593.70999992</v>
      </c>
      <c r="G66" s="629">
        <f t="shared" si="35"/>
        <v>1107349530.0427272</v>
      </c>
      <c r="H66" s="629">
        <f t="shared" si="35"/>
        <v>2249719449.8827262</v>
      </c>
      <c r="I66" s="629">
        <f t="shared" si="35"/>
        <v>3380641968.499999</v>
      </c>
      <c r="J66" s="629">
        <f t="shared" si="35"/>
        <v>7114317530.9800014</v>
      </c>
      <c r="K66" s="629">
        <f t="shared" si="35"/>
        <v>4448876305.9499989</v>
      </c>
      <c r="L66" s="629">
        <f t="shared" si="35"/>
        <v>1823779780.8099992</v>
      </c>
      <c r="M66" s="629">
        <f t="shared" si="35"/>
        <v>4253597741.2399993</v>
      </c>
      <c r="N66" s="629">
        <f t="shared" si="35"/>
        <v>3823447565.9200001</v>
      </c>
      <c r="O66" s="625">
        <f t="shared" si="4"/>
        <v>33278507650.985443</v>
      </c>
      <c r="P66" s="630"/>
      <c r="Q66" s="621"/>
      <c r="R66" s="630">
        <f>+[9]IS!AT66</f>
        <v>770759896.61999977</v>
      </c>
      <c r="S66" s="621">
        <f>+[9]IS!BL66</f>
        <v>22808385074.218006</v>
      </c>
      <c r="T66" s="631">
        <f t="shared" si="2"/>
        <v>0.43669842566896411</v>
      </c>
      <c r="U66" s="632">
        <f t="shared" si="3"/>
        <v>0.45904708039161379</v>
      </c>
      <c r="V66" s="595"/>
      <c r="W66" s="595"/>
      <c r="X66" s="595"/>
      <c r="Y66" s="595"/>
    </row>
    <row r="67" spans="1:25" s="622" customFormat="1">
      <c r="A67" s="627"/>
      <c r="B67" s="628" t="s">
        <v>708</v>
      </c>
      <c r="C67" s="629">
        <f t="shared" ref="C67:M67" si="36">SUM(C68:C77)</f>
        <v>144748330.99000001</v>
      </c>
      <c r="D67" s="629">
        <f t="shared" si="36"/>
        <v>84253906.49000001</v>
      </c>
      <c r="E67" s="629">
        <f t="shared" si="36"/>
        <v>-73469380.370000005</v>
      </c>
      <c r="F67" s="629">
        <f t="shared" si="36"/>
        <v>-30040891.699999981</v>
      </c>
      <c r="G67" s="629">
        <f t="shared" si="36"/>
        <v>-84132119.969999999</v>
      </c>
      <c r="H67" s="629">
        <f t="shared" si="36"/>
        <v>-63220662.969999999</v>
      </c>
      <c r="I67" s="629">
        <f t="shared" si="36"/>
        <v>707560534.49818194</v>
      </c>
      <c r="J67" s="629">
        <f t="shared" ref="J67" si="37">SUM(J68:J77)</f>
        <v>-36879358.269999981</v>
      </c>
      <c r="K67" s="629">
        <f t="shared" si="36"/>
        <v>-416097865.59999996</v>
      </c>
      <c r="L67" s="629">
        <f t="shared" si="36"/>
        <v>-60968543.99000001</v>
      </c>
      <c r="M67" s="629">
        <f t="shared" si="36"/>
        <v>-290426615.56999993</v>
      </c>
      <c r="N67" s="629">
        <f t="shared" ref="N67" si="38">SUM(N68:N77)</f>
        <v>-327599549.22000003</v>
      </c>
      <c r="O67" s="625">
        <f t="shared" si="4"/>
        <v>-446272215.68181795</v>
      </c>
      <c r="P67" s="630"/>
      <c r="Q67" s="621"/>
      <c r="R67" s="630">
        <f>+[9]IS!AT67</f>
        <v>82298344.25999999</v>
      </c>
      <c r="S67" s="621">
        <f>+[9]IS!BL67</f>
        <v>3025411911.6499996</v>
      </c>
      <c r="T67" s="631">
        <f t="shared" si="2"/>
        <v>-2.0222820486425181</v>
      </c>
      <c r="U67" s="632">
        <f t="shared" si="3"/>
        <v>-1.1475079191575039</v>
      </c>
      <c r="V67" s="595"/>
      <c r="W67" s="595"/>
      <c r="X67" s="595"/>
      <c r="Y67" s="595"/>
    </row>
    <row r="68" spans="1:25">
      <c r="A68" s="639" t="s">
        <v>709</v>
      </c>
      <c r="B68" s="637" t="s">
        <v>710</v>
      </c>
      <c r="C68" s="645">
        <f t="shared" ref="C68:N68" si="39">+C197-C209</f>
        <v>11401431.899999999</v>
      </c>
      <c r="D68" s="645">
        <f t="shared" si="39"/>
        <v>-23537799.509999998</v>
      </c>
      <c r="E68" s="645">
        <f t="shared" si="39"/>
        <v>-92323724.319999993</v>
      </c>
      <c r="F68" s="645">
        <f t="shared" si="39"/>
        <v>-54314017.75</v>
      </c>
      <c r="G68" s="645">
        <f t="shared" si="39"/>
        <v>-23448892.959999997</v>
      </c>
      <c r="H68" s="645">
        <f t="shared" si="39"/>
        <v>-86240600.269999996</v>
      </c>
      <c r="I68" s="645">
        <f t="shared" si="39"/>
        <v>753259494.6500001</v>
      </c>
      <c r="J68" s="645">
        <f t="shared" si="39"/>
        <v>10547274.079999998</v>
      </c>
      <c r="K68" s="645">
        <f t="shared" si="39"/>
        <v>-407933673.43000001</v>
      </c>
      <c r="L68" s="645">
        <f t="shared" si="39"/>
        <v>-48190924.690000005</v>
      </c>
      <c r="M68" s="645">
        <f t="shared" si="39"/>
        <v>-169908494.06</v>
      </c>
      <c r="N68" s="645">
        <f t="shared" si="39"/>
        <v>-293999021.13000005</v>
      </c>
      <c r="O68" s="635">
        <f t="shared" si="4"/>
        <v>-424688947.49000001</v>
      </c>
      <c r="P68" s="630"/>
      <c r="Q68" s="621"/>
      <c r="R68" s="630">
        <f>+[9]IS!AT68</f>
        <v>-8716645.5099999998</v>
      </c>
      <c r="S68" s="621">
        <f>+[9]IS!BL68</f>
        <v>1725065238.7800002</v>
      </c>
      <c r="T68" s="631">
        <f t="shared" si="2"/>
        <v>1.6901280926359479</v>
      </c>
      <c r="U68" s="632">
        <f t="shared" si="3"/>
        <v>-1.2461871806021367</v>
      </c>
    </row>
    <row r="69" spans="1:25">
      <c r="A69" s="639">
        <v>8402</v>
      </c>
      <c r="B69" s="637" t="s">
        <v>381</v>
      </c>
      <c r="C69" s="643">
        <f t="shared" ref="C69:N69" si="40">+C196</f>
        <v>146462641.18000001</v>
      </c>
      <c r="D69" s="643">
        <f t="shared" si="40"/>
        <v>124352218.23</v>
      </c>
      <c r="E69" s="643">
        <f t="shared" si="40"/>
        <v>101977950.92</v>
      </c>
      <c r="F69" s="643">
        <f t="shared" si="40"/>
        <v>67965829.140000001</v>
      </c>
      <c r="G69" s="643">
        <f t="shared" si="40"/>
        <v>15702792.369999999</v>
      </c>
      <c r="H69" s="643">
        <f t="shared" si="40"/>
        <v>30646755.82</v>
      </c>
      <c r="I69" s="643">
        <f t="shared" si="40"/>
        <v>9606570.9900000002</v>
      </c>
      <c r="J69" s="643">
        <f t="shared" si="40"/>
        <v>10935821.390000001</v>
      </c>
      <c r="K69" s="643">
        <f t="shared" si="40"/>
        <v>24647152.850000001</v>
      </c>
      <c r="L69" s="643">
        <f t="shared" si="40"/>
        <v>4661624.28</v>
      </c>
      <c r="M69" s="643">
        <f t="shared" si="40"/>
        <v>16353960.08</v>
      </c>
      <c r="N69" s="643">
        <f t="shared" si="40"/>
        <v>59950060.18</v>
      </c>
      <c r="O69" s="635">
        <f t="shared" si="4"/>
        <v>613263377.43000007</v>
      </c>
      <c r="P69" s="630"/>
      <c r="Q69" s="621"/>
      <c r="R69" s="630">
        <f>+[9]IS!AT69</f>
        <v>105188628.29000001</v>
      </c>
      <c r="S69" s="621">
        <f>+[9]IS!BL69</f>
        <v>1727697784.9099998</v>
      </c>
      <c r="T69" s="631">
        <f t="shared" si="2"/>
        <v>-0.85071777600608922</v>
      </c>
      <c r="U69" s="632">
        <f t="shared" si="3"/>
        <v>-0.64504013214212308</v>
      </c>
    </row>
    <row r="70" spans="1:25">
      <c r="A70" s="639" t="s">
        <v>711</v>
      </c>
      <c r="B70" s="637" t="s">
        <v>712</v>
      </c>
      <c r="C70" s="634">
        <f t="shared" ref="C70:N70" si="41">-C208</f>
        <v>-205200</v>
      </c>
      <c r="D70" s="634">
        <f t="shared" si="41"/>
        <v>0</v>
      </c>
      <c r="E70" s="634">
        <f t="shared" si="41"/>
        <v>-24300</v>
      </c>
      <c r="F70" s="634">
        <f t="shared" si="41"/>
        <v>0</v>
      </c>
      <c r="G70" s="634">
        <f t="shared" si="41"/>
        <v>0</v>
      </c>
      <c r="H70" s="634">
        <f t="shared" si="41"/>
        <v>0</v>
      </c>
      <c r="I70" s="634">
        <f t="shared" si="41"/>
        <v>0</v>
      </c>
      <c r="J70" s="634">
        <f t="shared" si="41"/>
        <v>0</v>
      </c>
      <c r="K70" s="634">
        <f t="shared" si="41"/>
        <v>-20300</v>
      </c>
      <c r="L70" s="634">
        <f t="shared" si="41"/>
        <v>-3470000</v>
      </c>
      <c r="M70" s="634">
        <f t="shared" si="41"/>
        <v>-3948508.4</v>
      </c>
      <c r="N70" s="634">
        <f t="shared" si="41"/>
        <v>-200500</v>
      </c>
      <c r="O70" s="635">
        <f t="shared" si="4"/>
        <v>-7868808.4000000004</v>
      </c>
      <c r="P70" s="630"/>
      <c r="Q70" s="621"/>
      <c r="R70" s="630">
        <f>+[9]IS!AT70</f>
        <v>-19200</v>
      </c>
      <c r="S70" s="621">
        <f>+[9]IS!BL70</f>
        <v>-331200</v>
      </c>
      <c r="T70" s="631">
        <f t="shared" si="2"/>
        <v>-1</v>
      </c>
      <c r="U70" s="632">
        <f t="shared" si="3"/>
        <v>22.758479468599035</v>
      </c>
    </row>
    <row r="71" spans="1:25">
      <c r="A71" s="639" t="s">
        <v>713</v>
      </c>
      <c r="B71" s="648" t="s">
        <v>714</v>
      </c>
      <c r="C71" s="643"/>
      <c r="D71" s="643"/>
      <c r="E71" s="643"/>
      <c r="F71" s="643"/>
      <c r="G71" s="643"/>
      <c r="H71" s="643"/>
      <c r="I71" s="643"/>
      <c r="J71" s="643"/>
      <c r="K71" s="643"/>
      <c r="L71" s="643"/>
      <c r="M71" s="643"/>
      <c r="N71" s="643"/>
      <c r="O71" s="635">
        <f t="shared" si="4"/>
        <v>0</v>
      </c>
      <c r="P71" s="630"/>
      <c r="Q71" s="621"/>
      <c r="R71" s="630">
        <f>+[9]IS!AT71</f>
        <v>0</v>
      </c>
      <c r="S71" s="621">
        <f>+[9]IS!BL71</f>
        <v>0</v>
      </c>
      <c r="T71" s="631" t="e">
        <f t="shared" si="2"/>
        <v>#DIV/0!</v>
      </c>
      <c r="U71" s="632" t="e">
        <f t="shared" si="3"/>
        <v>#DIV/0!</v>
      </c>
    </row>
    <row r="72" spans="1:25">
      <c r="A72" s="639">
        <v>8416</v>
      </c>
      <c r="B72" s="648" t="s">
        <v>715</v>
      </c>
      <c r="C72" s="634"/>
      <c r="D72" s="634"/>
      <c r="E72" s="634"/>
      <c r="F72" s="634"/>
      <c r="G72" s="634"/>
      <c r="H72" s="649"/>
      <c r="I72" s="649"/>
      <c r="J72" s="649"/>
      <c r="K72" s="634"/>
      <c r="L72" s="634"/>
      <c r="M72" s="634"/>
      <c r="N72" s="634"/>
      <c r="O72" s="635">
        <f t="shared" si="4"/>
        <v>0</v>
      </c>
      <c r="P72" s="630"/>
      <c r="Q72" s="621"/>
      <c r="R72" s="630">
        <f>+[9]IS!AT72</f>
        <v>0</v>
      </c>
      <c r="S72" s="621">
        <f>+[9]IS!BL72</f>
        <v>1663991.04</v>
      </c>
      <c r="T72" s="631" t="e">
        <f t="shared" si="2"/>
        <v>#DIV/0!</v>
      </c>
      <c r="U72" s="632">
        <f t="shared" si="3"/>
        <v>-1</v>
      </c>
    </row>
    <row r="73" spans="1:25">
      <c r="A73" s="639">
        <v>8412</v>
      </c>
      <c r="B73" s="648" t="s">
        <v>61</v>
      </c>
      <c r="C73" s="643">
        <f t="shared" ref="C73:N73" si="42">+C201</f>
        <v>22298434.809999999</v>
      </c>
      <c r="D73" s="643">
        <f t="shared" si="42"/>
        <v>12822891.4</v>
      </c>
      <c r="E73" s="643">
        <f t="shared" si="42"/>
        <v>11465462.720000001</v>
      </c>
      <c r="F73" s="643">
        <f t="shared" si="42"/>
        <v>11022481.119999999</v>
      </c>
      <c r="G73" s="643">
        <f t="shared" si="42"/>
        <v>10573084.119999999</v>
      </c>
      <c r="H73" s="643">
        <f t="shared" si="42"/>
        <v>11733322.449999999</v>
      </c>
      <c r="I73" s="643">
        <f t="shared" si="42"/>
        <v>12371012.640000001</v>
      </c>
      <c r="J73" s="643">
        <f t="shared" si="42"/>
        <v>17391447.370000001</v>
      </c>
      <c r="K73" s="643">
        <f t="shared" si="42"/>
        <v>11397451.380000001</v>
      </c>
      <c r="L73" s="643">
        <f t="shared" si="42"/>
        <v>15625262.09</v>
      </c>
      <c r="M73" s="643">
        <f t="shared" si="42"/>
        <v>10892029.09</v>
      </c>
      <c r="N73" s="643">
        <f t="shared" si="42"/>
        <v>11060916.82</v>
      </c>
      <c r="O73" s="635">
        <f t="shared" si="4"/>
        <v>158653796.00999999</v>
      </c>
      <c r="P73" s="630"/>
      <c r="Q73" s="621"/>
      <c r="R73" s="630">
        <f>+[9]IS!AT73</f>
        <v>11863904.83</v>
      </c>
      <c r="S73" s="621">
        <f>+[9]IS!BL73</f>
        <v>159117060.36000001</v>
      </c>
      <c r="T73" s="631">
        <f t="shared" si="2"/>
        <v>-0.10880234867831462</v>
      </c>
      <c r="U73" s="632">
        <f t="shared" si="3"/>
        <v>-2.9114687573531528E-3</v>
      </c>
    </row>
    <row r="74" spans="1:25">
      <c r="A74" s="639">
        <v>8414</v>
      </c>
      <c r="B74" s="648" t="s">
        <v>716</v>
      </c>
      <c r="C74" s="643"/>
      <c r="D74" s="643"/>
      <c r="E74" s="643"/>
      <c r="F74" s="643"/>
      <c r="G74" s="643"/>
      <c r="H74" s="643"/>
      <c r="I74" s="643"/>
      <c r="J74" s="643"/>
      <c r="K74" s="643"/>
      <c r="L74" s="643"/>
      <c r="M74" s="643"/>
      <c r="N74" s="643"/>
      <c r="O74" s="635">
        <f t="shared" si="4"/>
        <v>0</v>
      </c>
      <c r="P74" s="630"/>
      <c r="Q74" s="621"/>
      <c r="R74" s="630">
        <f>+[9]IS!AT74</f>
        <v>0</v>
      </c>
      <c r="S74" s="621">
        <f>+[9]IS!BL74</f>
        <v>0</v>
      </c>
      <c r="T74" s="631" t="e">
        <f t="shared" si="2"/>
        <v>#DIV/0!</v>
      </c>
      <c r="U74" s="632" t="e">
        <f t="shared" si="3"/>
        <v>#DIV/0!</v>
      </c>
    </row>
    <row r="75" spans="1:25">
      <c r="A75" s="639">
        <v>8415</v>
      </c>
      <c r="B75" s="648" t="s">
        <v>63</v>
      </c>
      <c r="C75" s="634"/>
      <c r="D75" s="634"/>
      <c r="E75" s="634"/>
      <c r="F75" s="634"/>
      <c r="G75" s="634"/>
      <c r="H75" s="634"/>
      <c r="I75" s="634"/>
      <c r="J75" s="634"/>
      <c r="K75" s="634"/>
      <c r="L75" s="634"/>
      <c r="M75" s="634"/>
      <c r="N75" s="634"/>
      <c r="O75" s="635">
        <f t="shared" si="4"/>
        <v>0</v>
      </c>
      <c r="P75" s="630"/>
      <c r="Q75" s="621"/>
      <c r="R75" s="630">
        <f>+[9]IS!AT75</f>
        <v>0</v>
      </c>
      <c r="S75" s="621">
        <f>+[9]IS!BL75</f>
        <v>0</v>
      </c>
      <c r="T75" s="631" t="e">
        <f t="shared" ref="T75:T98" si="43">+G75/R75-1</f>
        <v>#DIV/0!</v>
      </c>
      <c r="U75" s="632" t="e">
        <f t="shared" ref="U75:U98" si="44">+O75/S75-1</f>
        <v>#DIV/0!</v>
      </c>
    </row>
    <row r="76" spans="1:25">
      <c r="A76" s="639">
        <v>8713</v>
      </c>
      <c r="B76" s="648" t="s">
        <v>717</v>
      </c>
      <c r="C76" s="643"/>
      <c r="D76" s="643"/>
      <c r="E76" s="643"/>
      <c r="F76" s="643"/>
      <c r="G76" s="643"/>
      <c r="H76" s="643"/>
      <c r="I76" s="643"/>
      <c r="J76" s="643"/>
      <c r="K76" s="643"/>
      <c r="L76" s="643"/>
      <c r="M76" s="643"/>
      <c r="N76" s="643"/>
      <c r="O76" s="635">
        <f t="shared" si="4"/>
        <v>0</v>
      </c>
      <c r="P76" s="630"/>
      <c r="Q76" s="621"/>
      <c r="R76" s="630">
        <f>+[9]IS!AT76</f>
        <v>0</v>
      </c>
      <c r="S76" s="621">
        <f>+[9]IS!BL76</f>
        <v>0</v>
      </c>
      <c r="T76" s="631" t="e">
        <f t="shared" si="43"/>
        <v>#DIV/0!</v>
      </c>
      <c r="U76" s="632" t="e">
        <f t="shared" si="44"/>
        <v>#DIV/0!</v>
      </c>
    </row>
    <row r="77" spans="1:25">
      <c r="A77" s="639" t="s">
        <v>718</v>
      </c>
      <c r="B77" s="637" t="s">
        <v>708</v>
      </c>
      <c r="C77" s="643">
        <f t="shared" ref="C77:G77" si="45">-SUM(C211:C233)+C62-C84+C214+C199+C200-C83</f>
        <v>-35208976.900000006</v>
      </c>
      <c r="D77" s="643">
        <f t="shared" si="45"/>
        <v>-29383403.630000003</v>
      </c>
      <c r="E77" s="643">
        <f t="shared" si="45"/>
        <v>-94564769.690000013</v>
      </c>
      <c r="F77" s="643">
        <f t="shared" si="45"/>
        <v>-54715184.209999979</v>
      </c>
      <c r="G77" s="643">
        <f t="shared" si="45"/>
        <v>-86959103.5</v>
      </c>
      <c r="H77" s="643">
        <f>-SUM(H211:H233)+H62-H84+H214+H199+H200-H83</f>
        <v>-19360140.970000003</v>
      </c>
      <c r="I77" s="643">
        <f t="shared" ref="I77:M77" si="46">-SUM(I211:I233)+I62-I84+I214+I199+I200-I83</f>
        <v>-67676543.781818181</v>
      </c>
      <c r="J77" s="643">
        <f t="shared" si="46"/>
        <v>-75753901.109999985</v>
      </c>
      <c r="K77" s="643">
        <f t="shared" si="46"/>
        <v>-44188496.399999991</v>
      </c>
      <c r="L77" s="643">
        <f t="shared" si="46"/>
        <v>-29594505.670000002</v>
      </c>
      <c r="M77" s="643">
        <f t="shared" si="46"/>
        <v>-143815602.27999997</v>
      </c>
      <c r="N77" s="643">
        <f>-SUM(N211:N233)+N62-N84+N199+N200-N83</f>
        <v>-104411005.08999997</v>
      </c>
      <c r="O77" s="635">
        <f t="shared" si="4"/>
        <v>-785631633.2318182</v>
      </c>
      <c r="P77" s="630"/>
      <c r="Q77" s="621"/>
      <c r="R77" s="630">
        <f>+[9]IS!AT77</f>
        <v>-26018343.350000009</v>
      </c>
      <c r="S77" s="621">
        <f>+[9]IS!BL77</f>
        <v>-588251352.9000001</v>
      </c>
      <c r="T77" s="631">
        <f t="shared" si="43"/>
        <v>2.3422229205842182</v>
      </c>
      <c r="U77" s="632">
        <f t="shared" si="44"/>
        <v>0.33553731641883999</v>
      </c>
    </row>
    <row r="78" spans="1:25" s="655" customFormat="1">
      <c r="A78" s="650"/>
      <c r="B78" s="651" t="s">
        <v>719</v>
      </c>
      <c r="C78" s="652">
        <f t="shared" ref="C78:N78" si="47">C66+C67</f>
        <v>1935073789.6400006</v>
      </c>
      <c r="D78" s="652">
        <f t="shared" si="47"/>
        <v>2268915317.8999987</v>
      </c>
      <c r="E78" s="652">
        <f t="shared" si="47"/>
        <v>371250933.51999974</v>
      </c>
      <c r="F78" s="652">
        <f t="shared" si="47"/>
        <v>627029702.00999999</v>
      </c>
      <c r="G78" s="652">
        <f t="shared" si="47"/>
        <v>1023217410.0727272</v>
      </c>
      <c r="H78" s="652">
        <f t="shared" si="47"/>
        <v>2186498786.9127264</v>
      </c>
      <c r="I78" s="652">
        <f t="shared" si="47"/>
        <v>4088202502.9981809</v>
      </c>
      <c r="J78" s="652">
        <f t="shared" si="47"/>
        <v>7077438172.710001</v>
      </c>
      <c r="K78" s="652">
        <f t="shared" si="47"/>
        <v>4032778440.349999</v>
      </c>
      <c r="L78" s="652">
        <f t="shared" si="47"/>
        <v>1762811236.8199992</v>
      </c>
      <c r="M78" s="652">
        <f t="shared" si="47"/>
        <v>3963171125.6699991</v>
      </c>
      <c r="N78" s="652">
        <f t="shared" si="47"/>
        <v>3495848016.6999998</v>
      </c>
      <c r="O78" s="653">
        <f t="shared" si="4"/>
        <v>32832235435.303631</v>
      </c>
      <c r="P78" s="630"/>
      <c r="Q78" s="621"/>
      <c r="R78" s="630">
        <f>+[9]IS!AT78</f>
        <v>853058240.87999976</v>
      </c>
      <c r="S78" s="621">
        <f>+[9]IS!BL78</f>
        <v>25833346596.407997</v>
      </c>
      <c r="T78" s="631">
        <f t="shared" si="43"/>
        <v>0.19946958019794092</v>
      </c>
      <c r="U78" s="632">
        <f t="shared" si="44"/>
        <v>0.27092459015235737</v>
      </c>
      <c r="V78" s="595"/>
      <c r="W78" s="654"/>
      <c r="X78" s="595"/>
      <c r="Y78" s="595"/>
    </row>
    <row r="79" spans="1:25" s="622" customFormat="1">
      <c r="A79" s="627">
        <v>7203</v>
      </c>
      <c r="B79" s="628" t="s">
        <v>672</v>
      </c>
      <c r="C79" s="643">
        <f>+C117+C139</f>
        <v>69994314.420000002</v>
      </c>
      <c r="D79" s="643">
        <f t="shared" ref="D79:N79" si="48">+D117+D139</f>
        <v>56028754.359999999</v>
      </c>
      <c r="E79" s="643">
        <f t="shared" si="48"/>
        <v>61509646.420000002</v>
      </c>
      <c r="F79" s="643">
        <f t="shared" si="48"/>
        <v>71229890.109999999</v>
      </c>
      <c r="G79" s="643">
        <f t="shared" si="48"/>
        <v>59172769.350000001</v>
      </c>
      <c r="H79" s="643">
        <f t="shared" si="48"/>
        <v>59694982.480000004</v>
      </c>
      <c r="I79" s="643">
        <f t="shared" si="48"/>
        <v>62695339.560000002</v>
      </c>
      <c r="J79" s="643">
        <f t="shared" si="48"/>
        <v>73692135.650000006</v>
      </c>
      <c r="K79" s="643">
        <f t="shared" si="48"/>
        <v>63424451.009999998</v>
      </c>
      <c r="L79" s="643">
        <f t="shared" si="48"/>
        <v>68775574.799999997</v>
      </c>
      <c r="M79" s="643">
        <f t="shared" si="48"/>
        <v>58650410.159999996</v>
      </c>
      <c r="N79" s="643">
        <f t="shared" si="48"/>
        <v>75873145.289999992</v>
      </c>
      <c r="O79" s="625">
        <f t="shared" si="4"/>
        <v>780741413.6099999</v>
      </c>
      <c r="P79" s="630">
        <f>+O79+'[9]IS Berlin'!AM79+'[9]IS Ereen'!AM79+'[9]IS Brussels'!AM79</f>
        <v>862889526.92638385</v>
      </c>
      <c r="Q79" s="621"/>
      <c r="R79" s="630">
        <f>+[9]IS!AT79</f>
        <v>51148394.280000001</v>
      </c>
      <c r="S79" s="621">
        <f>+[9]IS!BL79</f>
        <v>620388179.92929983</v>
      </c>
      <c r="T79" s="631">
        <f t="shared" si="43"/>
        <v>0.15688420297365391</v>
      </c>
      <c r="U79" s="632">
        <f t="shared" si="44"/>
        <v>0.2584724191537211</v>
      </c>
      <c r="V79" s="595"/>
      <c r="W79" s="595"/>
      <c r="X79" s="595"/>
      <c r="Y79" s="595"/>
    </row>
    <row r="80" spans="1:25" s="622" customFormat="1">
      <c r="A80" s="627"/>
      <c r="B80" s="628" t="s">
        <v>720</v>
      </c>
      <c r="C80" s="629">
        <f t="shared" ref="C80:M80" si="49">+SUM(C81:C88)</f>
        <v>-45584014.460000001</v>
      </c>
      <c r="D80" s="629">
        <f t="shared" si="49"/>
        <v>4248312.8399999961</v>
      </c>
      <c r="E80" s="629">
        <f t="shared" si="49"/>
        <v>3469988.8800000139</v>
      </c>
      <c r="F80" s="629">
        <f t="shared" si="49"/>
        <v>141634606.71000001</v>
      </c>
      <c r="G80" s="629">
        <f t="shared" si="49"/>
        <v>119659214.35000002</v>
      </c>
      <c r="H80" s="629">
        <f t="shared" si="49"/>
        <v>621156772.94000006</v>
      </c>
      <c r="I80" s="629">
        <f t="shared" si="49"/>
        <v>-2353730140.1100001</v>
      </c>
      <c r="J80" s="629">
        <f t="shared" ref="J80" si="50">+SUM(J81:J88)</f>
        <v>142576286.68999997</v>
      </c>
      <c r="K80" s="629">
        <f t="shared" si="49"/>
        <v>-138949243.12999997</v>
      </c>
      <c r="L80" s="629">
        <f t="shared" si="49"/>
        <v>102342681.22000003</v>
      </c>
      <c r="M80" s="629">
        <f t="shared" si="49"/>
        <v>326694870.08999997</v>
      </c>
      <c r="N80" s="629">
        <f t="shared" ref="N80" si="51">+SUM(N81:N88)</f>
        <v>683911873.99000001</v>
      </c>
      <c r="O80" s="625">
        <f t="shared" si="4"/>
        <v>-392568789.98999977</v>
      </c>
      <c r="P80" s="630"/>
      <c r="Q80" s="621"/>
      <c r="R80" s="630">
        <f>+[9]IS!AT80</f>
        <v>-27730672.640000015</v>
      </c>
      <c r="S80" s="621">
        <f>+[9]IS!BL80</f>
        <v>95091490.190000057</v>
      </c>
      <c r="T80" s="631">
        <f t="shared" si="43"/>
        <v>-5.3150491119857657</v>
      </c>
      <c r="U80" s="632">
        <f t="shared" si="44"/>
        <v>-5.1283272478495956</v>
      </c>
      <c r="V80" s="595"/>
      <c r="W80" s="595"/>
      <c r="X80" s="595"/>
      <c r="Y80" s="595"/>
    </row>
    <row r="81" spans="1:26">
      <c r="A81" s="639">
        <v>8726</v>
      </c>
      <c r="B81" s="648" t="s">
        <v>721</v>
      </c>
      <c r="C81" s="634"/>
      <c r="D81" s="634"/>
      <c r="E81" s="634"/>
      <c r="F81" s="634"/>
      <c r="G81" s="634"/>
      <c r="H81" s="634"/>
      <c r="I81" s="634"/>
      <c r="J81" s="634"/>
      <c r="K81" s="634"/>
      <c r="L81" s="634"/>
      <c r="M81" s="634"/>
      <c r="N81" s="634"/>
      <c r="O81" s="635">
        <f t="shared" si="4"/>
        <v>0</v>
      </c>
      <c r="P81" s="630"/>
      <c r="Q81" s="621"/>
      <c r="R81" s="630">
        <f>+[9]IS!AT81</f>
        <v>0</v>
      </c>
      <c r="S81" s="621">
        <f>+[9]IS!BL81</f>
        <v>0</v>
      </c>
      <c r="T81" s="631" t="e">
        <f t="shared" si="43"/>
        <v>#DIV/0!</v>
      </c>
      <c r="U81" s="632" t="e">
        <f t="shared" si="44"/>
        <v>#DIV/0!</v>
      </c>
    </row>
    <row r="82" spans="1:26">
      <c r="A82" s="639">
        <v>8716</v>
      </c>
      <c r="B82" s="648" t="s">
        <v>417</v>
      </c>
      <c r="C82" s="634">
        <f t="shared" ref="C82:M82" si="52">-C214</f>
        <v>0</v>
      </c>
      <c r="D82" s="634">
        <f t="shared" si="52"/>
        <v>0</v>
      </c>
      <c r="E82" s="634">
        <f t="shared" si="52"/>
        <v>0</v>
      </c>
      <c r="F82" s="634">
        <f t="shared" si="52"/>
        <v>0</v>
      </c>
      <c r="G82" s="634">
        <f t="shared" si="52"/>
        <v>0</v>
      </c>
      <c r="H82" s="634">
        <f t="shared" si="52"/>
        <v>0</v>
      </c>
      <c r="I82" s="634">
        <f t="shared" si="52"/>
        <v>0</v>
      </c>
      <c r="J82" s="634">
        <f t="shared" si="52"/>
        <v>0</v>
      </c>
      <c r="K82" s="634">
        <f t="shared" si="52"/>
        <v>0</v>
      </c>
      <c r="L82" s="634">
        <f t="shared" si="52"/>
        <v>0</v>
      </c>
      <c r="M82" s="634">
        <f t="shared" si="52"/>
        <v>0</v>
      </c>
      <c r="N82" s="634"/>
      <c r="O82" s="635">
        <f t="shared" si="4"/>
        <v>0</v>
      </c>
      <c r="P82" s="630"/>
      <c r="Q82" s="621"/>
      <c r="R82" s="630">
        <f>+[9]IS!AT82</f>
        <v>0</v>
      </c>
      <c r="S82" s="621">
        <f>+[9]IS!BL82</f>
        <v>-14802798.15</v>
      </c>
      <c r="T82" s="631" t="e">
        <f t="shared" si="43"/>
        <v>#DIV/0!</v>
      </c>
      <c r="U82" s="632">
        <f t="shared" si="44"/>
        <v>-1</v>
      </c>
    </row>
    <row r="83" spans="1:26">
      <c r="A83" s="639">
        <v>8714</v>
      </c>
      <c r="B83" s="637" t="s">
        <v>722</v>
      </c>
      <c r="C83" s="634">
        <f>-C216-C217</f>
        <v>-159047.73000000001</v>
      </c>
      <c r="D83" s="634">
        <f t="shared" ref="D83:N83" si="53">-D216-D217</f>
        <v>0</v>
      </c>
      <c r="E83" s="634">
        <f t="shared" si="53"/>
        <v>-15523404.949999999</v>
      </c>
      <c r="F83" s="634">
        <f t="shared" si="53"/>
        <v>-22234289.129999999</v>
      </c>
      <c r="G83" s="634">
        <f t="shared" si="53"/>
        <v>0</v>
      </c>
      <c r="H83" s="634">
        <f t="shared" si="53"/>
        <v>-12000000</v>
      </c>
      <c r="I83" s="634">
        <f t="shared" si="53"/>
        <v>-604191.81000000006</v>
      </c>
      <c r="J83" s="634">
        <f t="shared" si="53"/>
        <v>0</v>
      </c>
      <c r="K83" s="634">
        <f t="shared" si="53"/>
        <v>-79421483.770000026</v>
      </c>
      <c r="L83" s="634">
        <f t="shared" si="53"/>
        <v>-22564754.32</v>
      </c>
      <c r="M83" s="634">
        <f t="shared" si="53"/>
        <v>-1178147.6000000001</v>
      </c>
      <c r="N83" s="634">
        <f t="shared" si="53"/>
        <v>-39573247.119999997</v>
      </c>
      <c r="O83" s="635">
        <f t="shared" si="4"/>
        <v>-193258566.43000004</v>
      </c>
      <c r="P83" s="630"/>
      <c r="Q83" s="621"/>
      <c r="R83" s="630">
        <f>+[9]IS!AT83</f>
        <v>0</v>
      </c>
      <c r="S83" s="621">
        <f>+[9]IS!BL83</f>
        <v>-142581878.61000001</v>
      </c>
      <c r="T83" s="631" t="e">
        <f t="shared" si="43"/>
        <v>#DIV/0!</v>
      </c>
      <c r="U83" s="632">
        <f t="shared" si="44"/>
        <v>0.35542165886742505</v>
      </c>
    </row>
    <row r="84" spans="1:26">
      <c r="A84" s="639">
        <v>8724</v>
      </c>
      <c r="B84" s="648" t="s">
        <v>723</v>
      </c>
      <c r="C84" s="634"/>
      <c r="D84" s="634"/>
      <c r="E84" s="634"/>
      <c r="F84" s="634"/>
      <c r="G84" s="634"/>
      <c r="H84" s="634"/>
      <c r="I84" s="634"/>
      <c r="J84" s="634"/>
      <c r="K84" s="634"/>
      <c r="L84" s="634"/>
      <c r="M84" s="634"/>
      <c r="N84" s="634">
        <f>-N214</f>
        <v>169909151</v>
      </c>
      <c r="O84" s="635">
        <f t="shared" si="4"/>
        <v>169909151</v>
      </c>
      <c r="P84" s="630"/>
      <c r="Q84" s="621"/>
      <c r="R84" s="630">
        <f>+[9]IS!AT84</f>
        <v>0</v>
      </c>
      <c r="S84" s="621">
        <f>+[9]IS!BL84</f>
        <v>-200000000</v>
      </c>
      <c r="T84" s="631" t="e">
        <f t="shared" si="43"/>
        <v>#DIV/0!</v>
      </c>
      <c r="U84" s="632">
        <f t="shared" si="44"/>
        <v>-1.8495457549999998</v>
      </c>
    </row>
    <row r="85" spans="1:26">
      <c r="A85" s="639" t="s">
        <v>724</v>
      </c>
      <c r="B85" s="648" t="s">
        <v>725</v>
      </c>
      <c r="C85" s="645">
        <f t="shared" ref="C85:N85" si="54">+C195-C207</f>
        <v>-37184815.930000007</v>
      </c>
      <c r="D85" s="645">
        <f t="shared" si="54"/>
        <v>4786249.1599999964</v>
      </c>
      <c r="E85" s="645">
        <f t="shared" si="54"/>
        <v>18993393.830000013</v>
      </c>
      <c r="F85" s="645">
        <f t="shared" si="54"/>
        <v>163710557.69</v>
      </c>
      <c r="G85" s="645">
        <f t="shared" si="54"/>
        <v>119659214.35000002</v>
      </c>
      <c r="H85" s="645">
        <f t="shared" si="54"/>
        <v>633156772.94000006</v>
      </c>
      <c r="I85" s="645">
        <f t="shared" si="54"/>
        <v>-2353125948.3000002</v>
      </c>
      <c r="J85" s="645">
        <f t="shared" si="54"/>
        <v>137265685.15999997</v>
      </c>
      <c r="K85" s="645">
        <f t="shared" si="54"/>
        <v>-25833425.319999933</v>
      </c>
      <c r="L85" s="645">
        <f t="shared" si="54"/>
        <v>124907435.54000002</v>
      </c>
      <c r="M85" s="645">
        <f t="shared" si="54"/>
        <v>327873017.69</v>
      </c>
      <c r="N85" s="645">
        <f t="shared" si="54"/>
        <v>536386061.33000004</v>
      </c>
      <c r="O85" s="635">
        <f t="shared" si="4"/>
        <v>-349405801.86000025</v>
      </c>
      <c r="P85" s="630"/>
      <c r="Q85" s="621"/>
      <c r="R85" s="630">
        <f>+[9]IS!AT85</f>
        <v>-27730672.640000015</v>
      </c>
      <c r="S85" s="621">
        <f>+[9]IS!BL85</f>
        <v>450614248.46000004</v>
      </c>
      <c r="T85" s="631">
        <f t="shared" si="43"/>
        <v>-5.3150491119857657</v>
      </c>
      <c r="U85" s="632">
        <f t="shared" si="44"/>
        <v>-1.7753989205936442</v>
      </c>
    </row>
    <row r="86" spans="1:26">
      <c r="A86" s="639" t="s">
        <v>726</v>
      </c>
      <c r="B86" s="637" t="s">
        <v>727</v>
      </c>
      <c r="C86" s="643">
        <f>+C198-C210</f>
        <v>-8240150.7999999998</v>
      </c>
      <c r="D86" s="643">
        <f t="shared" ref="D86:N86" si="55">+D198-D210</f>
        <v>-537936.31999999995</v>
      </c>
      <c r="E86" s="643">
        <f t="shared" si="55"/>
        <v>0</v>
      </c>
      <c r="F86" s="643">
        <f t="shared" si="55"/>
        <v>158338.15</v>
      </c>
      <c r="G86" s="643">
        <f t="shared" si="55"/>
        <v>0</v>
      </c>
      <c r="H86" s="643">
        <f t="shared" si="55"/>
        <v>0</v>
      </c>
      <c r="I86" s="643">
        <f t="shared" si="55"/>
        <v>0</v>
      </c>
      <c r="J86" s="643">
        <f t="shared" si="55"/>
        <v>5310601.5299999993</v>
      </c>
      <c r="K86" s="643">
        <f t="shared" si="55"/>
        <v>-33694334.039999999</v>
      </c>
      <c r="L86" s="643">
        <f t="shared" si="55"/>
        <v>0</v>
      </c>
      <c r="M86" s="643">
        <f t="shared" si="55"/>
        <v>0</v>
      </c>
      <c r="N86" s="643">
        <f t="shared" si="55"/>
        <v>17189908.780000001</v>
      </c>
      <c r="O86" s="635">
        <f t="shared" si="4"/>
        <v>-19813572.699999996</v>
      </c>
      <c r="P86" s="630">
        <f>+O86+O83</f>
        <v>-213072139.13000003</v>
      </c>
      <c r="Q86" s="621"/>
      <c r="R86" s="630">
        <f>+[9]IS!AT86</f>
        <v>0</v>
      </c>
      <c r="S86" s="621">
        <f>+[9]IS!BL86</f>
        <v>1861918.49</v>
      </c>
      <c r="T86" s="631" t="e">
        <f t="shared" si="43"/>
        <v>#DIV/0!</v>
      </c>
      <c r="U86" s="632">
        <f t="shared" si="44"/>
        <v>-11.641482323965748</v>
      </c>
    </row>
    <row r="87" spans="1:26">
      <c r="A87" s="639" t="s">
        <v>728</v>
      </c>
      <c r="B87" s="648" t="s">
        <v>729</v>
      </c>
      <c r="C87" s="643"/>
      <c r="D87" s="643"/>
      <c r="E87" s="643"/>
      <c r="F87" s="643"/>
      <c r="G87" s="643"/>
      <c r="H87" s="643"/>
      <c r="I87" s="643"/>
      <c r="J87" s="643"/>
      <c r="K87" s="643"/>
      <c r="L87" s="643"/>
      <c r="M87" s="643"/>
      <c r="N87" s="643"/>
      <c r="O87" s="635">
        <f t="shared" si="4"/>
        <v>0</v>
      </c>
      <c r="P87" s="630"/>
      <c r="Q87" s="621"/>
      <c r="R87" s="630">
        <f>+[9]IS!AT87</f>
        <v>0</v>
      </c>
      <c r="S87" s="621">
        <f>+[9]IS!BL87</f>
        <v>0</v>
      </c>
      <c r="T87" s="631" t="e">
        <f t="shared" si="43"/>
        <v>#DIV/0!</v>
      </c>
      <c r="U87" s="632" t="e">
        <f t="shared" si="44"/>
        <v>#DIV/0!</v>
      </c>
    </row>
    <row r="88" spans="1:26">
      <c r="A88" s="639" t="s">
        <v>730</v>
      </c>
      <c r="B88" s="637" t="s">
        <v>731</v>
      </c>
      <c r="C88" s="643"/>
      <c r="D88" s="643"/>
      <c r="E88" s="643"/>
      <c r="F88" s="643"/>
      <c r="G88" s="643"/>
      <c r="H88" s="643"/>
      <c r="I88" s="643"/>
      <c r="J88" s="643"/>
      <c r="K88" s="643"/>
      <c r="L88" s="643"/>
      <c r="M88" s="643"/>
      <c r="N88" s="643"/>
      <c r="O88" s="635">
        <f t="shared" si="4"/>
        <v>0</v>
      </c>
      <c r="P88" s="630"/>
      <c r="Q88" s="621"/>
      <c r="R88" s="630">
        <f>+[9]IS!AT88</f>
        <v>0</v>
      </c>
      <c r="S88" s="621">
        <f>+[9]IS!BL88</f>
        <v>0</v>
      </c>
      <c r="T88" s="631" t="e">
        <f t="shared" si="43"/>
        <v>#DIV/0!</v>
      </c>
      <c r="U88" s="632" t="e">
        <f t="shared" si="44"/>
        <v>#DIV/0!</v>
      </c>
    </row>
    <row r="89" spans="1:26" s="655" customFormat="1">
      <c r="A89" s="650"/>
      <c r="B89" s="651" t="s">
        <v>732</v>
      </c>
      <c r="C89" s="652">
        <f t="shared" ref="C89:N89" si="56">+C78-C79+C80</f>
        <v>1819495460.7600005</v>
      </c>
      <c r="D89" s="652">
        <f t="shared" si="56"/>
        <v>2217134876.3799987</v>
      </c>
      <c r="E89" s="652">
        <f t="shared" si="56"/>
        <v>313211275.97999972</v>
      </c>
      <c r="F89" s="652">
        <f t="shared" si="56"/>
        <v>697434418.61000001</v>
      </c>
      <c r="G89" s="652">
        <f t="shared" si="56"/>
        <v>1083703855.0727272</v>
      </c>
      <c r="H89" s="652">
        <f t="shared" si="56"/>
        <v>2747960577.3727264</v>
      </c>
      <c r="I89" s="652">
        <f t="shared" si="56"/>
        <v>1671777023.3281808</v>
      </c>
      <c r="J89" s="652">
        <f t="shared" si="56"/>
        <v>7146322323.750001</v>
      </c>
      <c r="K89" s="652">
        <f t="shared" si="56"/>
        <v>3830404746.2099986</v>
      </c>
      <c r="L89" s="652">
        <f t="shared" si="56"/>
        <v>1796378343.2399993</v>
      </c>
      <c r="M89" s="652">
        <f t="shared" si="56"/>
        <v>4231215585.5999994</v>
      </c>
      <c r="N89" s="652">
        <f t="shared" si="56"/>
        <v>4103886745.3999996</v>
      </c>
      <c r="O89" s="653">
        <f t="shared" ref="O89:O96" si="57">SUM(C89:N89)</f>
        <v>31658925231.703629</v>
      </c>
      <c r="P89" s="630"/>
      <c r="Q89" s="621"/>
      <c r="R89" s="630">
        <f>+[9]IS!AT89</f>
        <v>774179173.9599998</v>
      </c>
      <c r="S89" s="621">
        <f>+[9]IS!BL89</f>
        <v>25131751926.638699</v>
      </c>
      <c r="T89" s="631">
        <f t="shared" si="43"/>
        <v>0.39981013636608087</v>
      </c>
      <c r="U89" s="632">
        <f t="shared" si="44"/>
        <v>0.25971819728756662</v>
      </c>
      <c r="V89" s="595"/>
      <c r="W89" s="654"/>
      <c r="X89" s="595"/>
      <c r="Y89" s="595"/>
    </row>
    <row r="90" spans="1:26" s="622" customFormat="1">
      <c r="A90" s="627"/>
      <c r="B90" s="628" t="s">
        <v>733</v>
      </c>
      <c r="C90" s="629">
        <f t="shared" ref="C90" si="58">+SUM(C91:C94)</f>
        <v>223956864.29999998</v>
      </c>
      <c r="D90" s="629">
        <f t="shared" ref="D90:N90" si="59">+SUM(D91:D94)</f>
        <v>316667677.63999999</v>
      </c>
      <c r="E90" s="629">
        <f t="shared" si="59"/>
        <v>272604803.92000002</v>
      </c>
      <c r="F90" s="629">
        <f t="shared" si="59"/>
        <v>481151641.13999999</v>
      </c>
      <c r="G90" s="629">
        <f t="shared" si="59"/>
        <v>551255163.25</v>
      </c>
      <c r="H90" s="629">
        <f t="shared" si="59"/>
        <v>698512139.97000003</v>
      </c>
      <c r="I90" s="629">
        <f t="shared" si="59"/>
        <v>739381395.1099999</v>
      </c>
      <c r="J90" s="629">
        <f t="shared" ref="J90" si="60">+SUM(J91:J94)</f>
        <v>595872944.76999998</v>
      </c>
      <c r="K90" s="629">
        <f t="shared" si="59"/>
        <v>872598473.8499999</v>
      </c>
      <c r="L90" s="629">
        <f t="shared" si="59"/>
        <v>541615258.38999999</v>
      </c>
      <c r="M90" s="629">
        <f t="shared" si="59"/>
        <v>614203929.44000006</v>
      </c>
      <c r="N90" s="629">
        <f t="shared" si="59"/>
        <v>588978604.24000001</v>
      </c>
      <c r="O90" s="625">
        <f t="shared" si="57"/>
        <v>6496798896.0200005</v>
      </c>
      <c r="P90" s="630"/>
      <c r="Q90" s="621"/>
      <c r="R90" s="630">
        <f>+[9]IS!AT90</f>
        <v>374383798.57999998</v>
      </c>
      <c r="S90" s="621">
        <f>+[9]IS!BL90</f>
        <v>4172549650.3429999</v>
      </c>
      <c r="T90" s="631">
        <f t="shared" si="43"/>
        <v>0.47243327660239376</v>
      </c>
      <c r="U90" s="632">
        <f t="shared" si="44"/>
        <v>0.55703333463891513</v>
      </c>
      <c r="V90" s="595"/>
      <c r="W90" s="595"/>
      <c r="X90" s="595"/>
      <c r="Y90" s="595"/>
    </row>
    <row r="91" spans="1:26">
      <c r="A91" s="639" t="s">
        <v>734</v>
      </c>
      <c r="B91" s="637" t="s">
        <v>735</v>
      </c>
      <c r="C91" s="634"/>
      <c r="D91" s="634"/>
      <c r="E91" s="634"/>
      <c r="F91" s="634"/>
      <c r="G91" s="634">
        <f t="shared" ref="G91:N91" si="61">+G145</f>
        <v>12074200</v>
      </c>
      <c r="H91" s="634">
        <f t="shared" si="61"/>
        <v>10552774.82</v>
      </c>
      <c r="I91" s="634">
        <f t="shared" si="61"/>
        <v>58624885.299999997</v>
      </c>
      <c r="J91" s="634">
        <f t="shared" si="61"/>
        <v>0</v>
      </c>
      <c r="K91" s="634">
        <f t="shared" si="61"/>
        <v>229811990.19999999</v>
      </c>
      <c r="L91" s="634">
        <f t="shared" si="61"/>
        <v>450000</v>
      </c>
      <c r="M91" s="634">
        <f t="shared" si="61"/>
        <v>37378650</v>
      </c>
      <c r="N91" s="634">
        <f t="shared" si="61"/>
        <v>8712620.0199999996</v>
      </c>
      <c r="O91" s="635">
        <f t="shared" si="57"/>
        <v>357605120.33999997</v>
      </c>
      <c r="P91" s="630"/>
      <c r="Q91" s="621"/>
      <c r="R91" s="630">
        <f>+[9]IS!AT91</f>
        <v>0</v>
      </c>
      <c r="S91" s="621">
        <f>+[9]IS!BL91</f>
        <v>0</v>
      </c>
      <c r="T91" s="631" t="e">
        <f t="shared" si="43"/>
        <v>#DIV/0!</v>
      </c>
      <c r="U91" s="632" t="e">
        <f t="shared" si="44"/>
        <v>#DIV/0!</v>
      </c>
    </row>
    <row r="92" spans="1:26">
      <c r="A92" s="639" t="s">
        <v>736</v>
      </c>
      <c r="B92" s="637" t="s">
        <v>737</v>
      </c>
      <c r="C92" s="634"/>
      <c r="D92" s="634"/>
      <c r="E92" s="634"/>
      <c r="F92" s="634"/>
      <c r="G92" s="634"/>
      <c r="H92" s="634"/>
      <c r="I92" s="634"/>
      <c r="J92" s="634"/>
      <c r="K92" s="634"/>
      <c r="L92" s="634"/>
      <c r="M92" s="634"/>
      <c r="N92" s="634"/>
      <c r="O92" s="635">
        <f t="shared" si="57"/>
        <v>0</v>
      </c>
      <c r="P92" s="630"/>
      <c r="Q92" s="621"/>
      <c r="R92" s="630">
        <f>+[9]IS!AT92</f>
        <v>0</v>
      </c>
      <c r="S92" s="621">
        <f>+[9]IS!BL92</f>
        <v>1049351.6329999999</v>
      </c>
      <c r="T92" s="631" t="e">
        <f t="shared" si="43"/>
        <v>#DIV/0!</v>
      </c>
      <c r="U92" s="632">
        <f t="shared" si="44"/>
        <v>-1</v>
      </c>
    </row>
    <row r="93" spans="1:26">
      <c r="A93" s="639">
        <v>7403</v>
      </c>
      <c r="B93" s="637" t="s">
        <v>738</v>
      </c>
      <c r="C93" s="634">
        <f t="shared" ref="C93:N93" si="62">+C144</f>
        <v>223956864.29999998</v>
      </c>
      <c r="D93" s="634">
        <f t="shared" si="62"/>
        <v>316667677.63999999</v>
      </c>
      <c r="E93" s="634">
        <f t="shared" si="62"/>
        <v>272604803.92000002</v>
      </c>
      <c r="F93" s="634">
        <f t="shared" si="62"/>
        <v>481151641.13999999</v>
      </c>
      <c r="G93" s="634">
        <f t="shared" si="62"/>
        <v>539180963.25</v>
      </c>
      <c r="H93" s="634">
        <f t="shared" si="62"/>
        <v>687959365.14999998</v>
      </c>
      <c r="I93" s="634">
        <f t="shared" si="62"/>
        <v>680756509.80999994</v>
      </c>
      <c r="J93" s="634">
        <f t="shared" si="62"/>
        <v>595872944.76999998</v>
      </c>
      <c r="K93" s="634">
        <f t="shared" si="62"/>
        <v>642786483.64999998</v>
      </c>
      <c r="L93" s="634">
        <f t="shared" si="62"/>
        <v>541165258.38999999</v>
      </c>
      <c r="M93" s="634">
        <f t="shared" si="62"/>
        <v>576825279.44000006</v>
      </c>
      <c r="N93" s="634">
        <f t="shared" si="62"/>
        <v>580265984.22000003</v>
      </c>
      <c r="O93" s="635">
        <f t="shared" si="57"/>
        <v>6139193775.6800013</v>
      </c>
      <c r="P93" s="630"/>
      <c r="Q93" s="621"/>
      <c r="R93" s="630">
        <f>+[9]IS!AT93</f>
        <v>374383798.57999998</v>
      </c>
      <c r="S93" s="621">
        <f>+[9]IS!BL93</f>
        <v>4171500298.71</v>
      </c>
      <c r="T93" s="644">
        <f t="shared" si="43"/>
        <v>0.44018241519814438</v>
      </c>
      <c r="U93" s="632">
        <f t="shared" si="44"/>
        <v>0.47169922955021559</v>
      </c>
    </row>
    <row r="94" spans="1:26">
      <c r="A94" s="639">
        <v>7404</v>
      </c>
      <c r="B94" s="637" t="s">
        <v>739</v>
      </c>
      <c r="C94" s="634"/>
      <c r="D94" s="634"/>
      <c r="E94" s="634"/>
      <c r="F94" s="634"/>
      <c r="G94" s="634"/>
      <c r="H94" s="634"/>
      <c r="I94" s="634"/>
      <c r="J94" s="634"/>
      <c r="K94" s="634"/>
      <c r="L94" s="634"/>
      <c r="M94" s="634"/>
      <c r="N94" s="634"/>
      <c r="O94" s="635">
        <f t="shared" si="57"/>
        <v>0</v>
      </c>
      <c r="P94" s="630"/>
      <c r="Q94" s="621"/>
      <c r="R94" s="630">
        <f>+[9]IS!AT94</f>
        <v>0</v>
      </c>
      <c r="S94" s="621">
        <f>+[9]IS!BL94</f>
        <v>0</v>
      </c>
      <c r="T94" s="631" t="e">
        <f t="shared" si="43"/>
        <v>#DIV/0!</v>
      </c>
      <c r="U94" s="632" t="e">
        <f t="shared" si="44"/>
        <v>#DIV/0!</v>
      </c>
    </row>
    <row r="95" spans="1:26" s="655" customFormat="1">
      <c r="A95" s="650"/>
      <c r="B95" s="651" t="s">
        <v>740</v>
      </c>
      <c r="C95" s="652">
        <f t="shared" ref="C95:O95" si="63">+C89-C90</f>
        <v>1595538596.4600005</v>
      </c>
      <c r="D95" s="652">
        <f t="shared" si="63"/>
        <v>1900467198.7399988</v>
      </c>
      <c r="E95" s="652">
        <f t="shared" si="63"/>
        <v>40606472.059999704</v>
      </c>
      <c r="F95" s="652">
        <f t="shared" si="63"/>
        <v>216282777.47000003</v>
      </c>
      <c r="G95" s="652">
        <f t="shared" si="63"/>
        <v>532448691.8227272</v>
      </c>
      <c r="H95" s="652">
        <f t="shared" si="63"/>
        <v>2049448437.4027264</v>
      </c>
      <c r="I95" s="652">
        <f t="shared" si="63"/>
        <v>932395628.21818089</v>
      </c>
      <c r="J95" s="652">
        <f t="shared" si="63"/>
        <v>6550449378.9800014</v>
      </c>
      <c r="K95" s="652">
        <f t="shared" si="63"/>
        <v>2957806272.3599987</v>
      </c>
      <c r="L95" s="652">
        <f t="shared" si="63"/>
        <v>1254763084.8499994</v>
      </c>
      <c r="M95" s="652">
        <f t="shared" si="63"/>
        <v>3617011656.1599994</v>
      </c>
      <c r="N95" s="652">
        <f t="shared" si="63"/>
        <v>3514908141.1599998</v>
      </c>
      <c r="O95" s="652">
        <f t="shared" si="63"/>
        <v>25162126335.683628</v>
      </c>
      <c r="P95" s="630"/>
      <c r="Q95" s="621"/>
      <c r="R95" s="630">
        <f>+[9]IS!AT95</f>
        <v>399795375.37999982</v>
      </c>
      <c r="S95" s="621">
        <f>+[9]IS!BL95</f>
        <v>21135500256.325703</v>
      </c>
      <c r="T95" s="631">
        <f t="shared" si="43"/>
        <v>0.3318030287785152</v>
      </c>
      <c r="U95" s="632">
        <f t="shared" si="44"/>
        <v>0.19051482247990714</v>
      </c>
      <c r="V95" s="595"/>
      <c r="W95" s="654"/>
      <c r="X95" s="595"/>
      <c r="Y95" s="595"/>
    </row>
    <row r="96" spans="1:26" s="655" customFormat="1">
      <c r="A96" s="650"/>
      <c r="B96" s="628" t="s">
        <v>1155</v>
      </c>
      <c r="C96" s="634">
        <v>-896136.03</v>
      </c>
      <c r="D96" s="634">
        <v>13356322.810000001</v>
      </c>
      <c r="E96" s="634">
        <v>-54462928</v>
      </c>
      <c r="F96" s="634">
        <v>12099720.300000001</v>
      </c>
      <c r="G96" s="634">
        <v>33429129.620000001</v>
      </c>
      <c r="H96" s="634">
        <v>160238052.103338</v>
      </c>
      <c r="I96" s="634">
        <v>-538512237.10000002</v>
      </c>
      <c r="J96" s="634">
        <v>33505425.373817701</v>
      </c>
      <c r="K96" s="634">
        <v>22835489.033447981</v>
      </c>
      <c r="L96" s="634">
        <v>25598058.122191489</v>
      </c>
      <c r="M96" s="634">
        <f>58151806.68+505920.03</f>
        <v>58657726.710000001</v>
      </c>
      <c r="N96" s="634">
        <v>86227720.379999995</v>
      </c>
      <c r="O96" s="625">
        <f t="shared" si="57"/>
        <v>-147923656.67720488</v>
      </c>
      <c r="P96" s="630">
        <v>-63993260.928983837</v>
      </c>
      <c r="Q96" s="621">
        <f>+O96-P96</f>
        <v>-83930395.74822104</v>
      </c>
      <c r="R96" s="630">
        <f>+[9]IS!AT96</f>
        <v>2978408.32</v>
      </c>
      <c r="S96" s="621">
        <f>+[9]IS!BL96</f>
        <v>273728876.50999999</v>
      </c>
      <c r="T96" s="631">
        <f t="shared" si="43"/>
        <v>10.223823609249118</v>
      </c>
      <c r="U96" s="632">
        <f t="shared" si="44"/>
        <v>-1.5404020889692318</v>
      </c>
      <c r="V96" s="595"/>
      <c r="W96" s="654"/>
      <c r="X96" s="595"/>
      <c r="Y96" s="595"/>
      <c r="Z96" s="656">
        <f>+O96/1000</f>
        <v>-147923.65667720488</v>
      </c>
    </row>
    <row r="97" spans="1:26" s="622" customFormat="1">
      <c r="A97" s="627"/>
      <c r="B97" s="628" t="s">
        <v>741</v>
      </c>
      <c r="C97" s="634">
        <v>181501781.68000001</v>
      </c>
      <c r="D97" s="634">
        <v>270074608.13</v>
      </c>
      <c r="E97" s="634">
        <v>-23795840.809999999</v>
      </c>
      <c r="F97" s="634">
        <v>24169173.82</v>
      </c>
      <c r="G97" s="634">
        <v>122116548.81999999</v>
      </c>
      <c r="H97" s="634">
        <v>363491539.62</v>
      </c>
      <c r="I97" s="634">
        <v>835291335.05999994</v>
      </c>
      <c r="J97" s="634">
        <v>1619776526.6199999</v>
      </c>
      <c r="K97" s="634">
        <f>+'[9]TAX-2017'!K41</f>
        <v>780298098.34000003</v>
      </c>
      <c r="L97" s="634">
        <f>+'[9]TAX-2017'!L41</f>
        <v>294835132.44</v>
      </c>
      <c r="M97" s="634">
        <f>+'[9]TAX-2017'!M41</f>
        <v>861323608.04999995</v>
      </c>
      <c r="N97" s="634">
        <f>+'[9]TAX-2017'!N41</f>
        <v>758118605.16000009</v>
      </c>
      <c r="O97" s="625">
        <f>SUM(C97:N97)</f>
        <v>6087201116.9299994</v>
      </c>
      <c r="P97" s="630"/>
      <c r="Q97" s="621"/>
      <c r="R97" s="630">
        <f>+[9]IS!AT97</f>
        <v>46718316.57</v>
      </c>
      <c r="S97" s="621">
        <f>+[9]IS!BL97</f>
        <v>4722867211.0599995</v>
      </c>
      <c r="T97" s="631">
        <f t="shared" si="43"/>
        <v>1.6138901781066464</v>
      </c>
      <c r="U97" s="632">
        <f t="shared" si="44"/>
        <v>0.2888783116059257</v>
      </c>
      <c r="V97" s="595"/>
      <c r="W97" s="595"/>
      <c r="X97" s="595"/>
      <c r="Y97" s="595"/>
      <c r="Z97" s="656">
        <f>+O97/1000</f>
        <v>6087201.1169299996</v>
      </c>
    </row>
    <row r="98" spans="1:26" s="662" customFormat="1">
      <c r="A98" s="657"/>
      <c r="B98" s="658" t="s">
        <v>742</v>
      </c>
      <c r="C98" s="659">
        <f t="shared" ref="C98:N98" si="64">+C95-C97-C96</f>
        <v>1414932950.8100004</v>
      </c>
      <c r="D98" s="659">
        <f t="shared" si="64"/>
        <v>1617036267.7999988</v>
      </c>
      <c r="E98" s="659">
        <f t="shared" si="64"/>
        <v>118865240.86999971</v>
      </c>
      <c r="F98" s="659">
        <f t="shared" si="64"/>
        <v>180013883.35000002</v>
      </c>
      <c r="G98" s="659">
        <f t="shared" si="64"/>
        <v>376903013.38272721</v>
      </c>
      <c r="H98" s="659">
        <f t="shared" si="64"/>
        <v>1525718845.6793883</v>
      </c>
      <c r="I98" s="659">
        <f t="shared" si="64"/>
        <v>635616530.25818098</v>
      </c>
      <c r="J98" s="659">
        <f t="shared" si="64"/>
        <v>4897167426.9861841</v>
      </c>
      <c r="K98" s="659">
        <f t="shared" si="64"/>
        <v>2154672684.9865503</v>
      </c>
      <c r="L98" s="659">
        <f t="shared" si="64"/>
        <v>934329894.28780794</v>
      </c>
      <c r="M98" s="659">
        <f t="shared" si="64"/>
        <v>2697030321.3999996</v>
      </c>
      <c r="N98" s="659">
        <f t="shared" si="64"/>
        <v>2670561815.6199999</v>
      </c>
      <c r="O98" s="660">
        <f>+O95-O97-O96</f>
        <v>19222848875.430832</v>
      </c>
      <c r="P98" s="630"/>
      <c r="Q98" s="621"/>
      <c r="R98" s="630">
        <f>+[9]IS!AT98</f>
        <v>350098650.48999983</v>
      </c>
      <c r="S98" s="621">
        <f>+[9]IS!BL98</f>
        <v>16138904168.755701</v>
      </c>
      <c r="T98" s="631">
        <f t="shared" si="43"/>
        <v>7.6562314236892526E-2</v>
      </c>
      <c r="U98" s="632">
        <f t="shared" si="44"/>
        <v>0.19108761502193738</v>
      </c>
      <c r="V98" s="595"/>
      <c r="W98" s="661"/>
      <c r="X98" s="595"/>
      <c r="Y98" s="595"/>
    </row>
    <row r="99" spans="1:26" s="590" customFormat="1" ht="10.199999999999999">
      <c r="B99" s="663"/>
      <c r="C99" s="664"/>
      <c r="D99" s="664"/>
      <c r="E99" s="664">
        <f>118865240.29-E98</f>
        <v>-0.57999970018863678</v>
      </c>
      <c r="F99" s="664"/>
      <c r="G99" s="664"/>
      <c r="H99" s="664">
        <f>+H98-1521570252.99-4148592.69</f>
        <v>-6.1172479763627052E-4</v>
      </c>
      <c r="I99" s="664"/>
      <c r="J99" s="664">
        <f>+J98-4897167426.9</f>
        <v>8.6184501647949219E-2</v>
      </c>
      <c r="K99" s="664">
        <f>+K98-2154672684.99</f>
        <v>-3.4494400024414063E-3</v>
      </c>
      <c r="L99" s="664"/>
      <c r="M99" s="664">
        <f>+M98-2697030321.4</f>
        <v>0</v>
      </c>
      <c r="N99" s="595">
        <f>+N98-2670840793.86+278978.24</f>
        <v>-2.4796463549137115E-7</v>
      </c>
      <c r="O99" s="595">
        <f>+O98-19223127853.04+278978.24</f>
        <v>0.63083099364303052</v>
      </c>
      <c r="P99" s="664"/>
      <c r="Q99" s="664" t="s">
        <v>1156</v>
      </c>
      <c r="R99" s="664" t="s">
        <v>1157</v>
      </c>
      <c r="S99" s="664"/>
      <c r="T99" s="664"/>
      <c r="U99" s="595"/>
      <c r="V99" s="595"/>
      <c r="W99" s="595"/>
      <c r="X99" s="595"/>
      <c r="Y99" s="595"/>
    </row>
    <row r="100" spans="1:26" s="590" customFormat="1" ht="10.199999999999999">
      <c r="B100" s="665"/>
      <c r="C100" s="630">
        <f t="shared" ref="C100:E100" si="65">+C23+C90+C79</f>
        <v>1216215809.8399999</v>
      </c>
      <c r="D100" s="630">
        <f t="shared" si="65"/>
        <v>1350729326.8900001</v>
      </c>
      <c r="E100" s="630">
        <f t="shared" si="65"/>
        <v>1343739007.79</v>
      </c>
      <c r="F100" s="630">
        <f>+F23+F90+F79</f>
        <v>1591054573.2099998</v>
      </c>
      <c r="G100" s="630">
        <f>+G23+G90+G79</f>
        <v>1811991843.2172725</v>
      </c>
      <c r="H100" s="630">
        <f>+H23+H90+H79</f>
        <v>2056492715.5972726</v>
      </c>
      <c r="I100" s="630">
        <f t="shared" ref="I100:O100" si="66">+I23+I90+I79</f>
        <v>2321482301.6100001</v>
      </c>
      <c r="J100" s="630">
        <f t="shared" si="66"/>
        <v>3063437668.3500004</v>
      </c>
      <c r="K100" s="630">
        <f t="shared" si="66"/>
        <v>2968570979.1500006</v>
      </c>
      <c r="L100" s="630">
        <f t="shared" si="66"/>
        <v>2319033942.4099998</v>
      </c>
      <c r="M100" s="630">
        <f t="shared" si="66"/>
        <v>2206319511</v>
      </c>
      <c r="N100" s="630">
        <f t="shared" si="66"/>
        <v>2299933034.8599997</v>
      </c>
      <c r="O100" s="630">
        <f t="shared" si="66"/>
        <v>24549000713.924549</v>
      </c>
      <c r="P100" s="630" t="s">
        <v>1158</v>
      </c>
      <c r="Q100" s="626">
        <v>1070582177.4400001</v>
      </c>
      <c r="R100" s="630">
        <f>+L97</f>
        <v>294835132.44</v>
      </c>
      <c r="S100" s="630">
        <f>+Q100-R100</f>
        <v>775747045</v>
      </c>
      <c r="T100" s="630"/>
      <c r="U100" s="626"/>
      <c r="V100" s="626"/>
      <c r="W100" s="626"/>
      <c r="X100" s="626"/>
      <c r="Y100" s="626"/>
    </row>
    <row r="101" spans="1:26" s="590" customFormat="1" ht="10.199999999999999">
      <c r="B101" s="666"/>
      <c r="C101" s="664"/>
      <c r="D101" s="664"/>
      <c r="E101" s="664"/>
      <c r="F101" s="664"/>
      <c r="G101" s="667">
        <f>+G100/G10</f>
        <v>0.38386541985644396</v>
      </c>
      <c r="H101" s="667"/>
      <c r="I101" s="667"/>
      <c r="J101" s="667"/>
      <c r="K101" s="667"/>
      <c r="L101" s="667"/>
      <c r="M101" s="667"/>
      <c r="N101" s="664"/>
      <c r="O101" s="667">
        <f>+O100/O10</f>
        <v>0.19542349572236062</v>
      </c>
      <c r="P101" s="667" t="s">
        <v>1159</v>
      </c>
      <c r="Q101" s="595">
        <v>3261571029.287807</v>
      </c>
      <c r="R101" s="668">
        <f>+[9]IS!AF98</f>
        <v>937728142.7636379</v>
      </c>
      <c r="S101" s="630">
        <f>+Q101-R101</f>
        <v>2323842886.524169</v>
      </c>
      <c r="T101" s="667"/>
      <c r="U101" s="595"/>
      <c r="V101" s="595"/>
      <c r="W101" s="595"/>
      <c r="X101" s="595"/>
      <c r="Y101" s="595"/>
    </row>
    <row r="102" spans="1:26" s="415" customFormat="1" ht="10.199999999999999">
      <c r="C102" s="415">
        <f t="shared" ref="C102:O102" si="67">+C98/C10</f>
        <v>0.21717873901612691</v>
      </c>
      <c r="D102" s="669">
        <f t="shared" si="67"/>
        <v>0.22505970569621117</v>
      </c>
      <c r="E102" s="415">
        <f t="shared" si="67"/>
        <v>2.3898076472439907E-2</v>
      </c>
      <c r="F102" s="415">
        <f t="shared" si="67"/>
        <v>4.8875962390467972E-2</v>
      </c>
      <c r="G102" s="415">
        <f t="shared" si="67"/>
        <v>7.9845852517985746E-2</v>
      </c>
      <c r="H102" s="415">
        <f t="shared" si="67"/>
        <v>0.17575626573551209</v>
      </c>
      <c r="I102" s="415">
        <f t="shared" si="67"/>
        <v>6.1517436570594511E-2</v>
      </c>
      <c r="J102" s="415">
        <f t="shared" si="67"/>
        <v>0.22320134721251339</v>
      </c>
      <c r="K102" s="415">
        <f t="shared" si="67"/>
        <v>0.13061150171070623</v>
      </c>
      <c r="L102" s="415">
        <f t="shared" si="67"/>
        <v>5.2732945345794806E-2</v>
      </c>
      <c r="M102" s="415">
        <f t="shared" si="67"/>
        <v>0.20016743114825938</v>
      </c>
      <c r="N102" s="415">
        <f t="shared" si="67"/>
        <v>0.26976382210438377</v>
      </c>
      <c r="O102" s="415">
        <f t="shared" si="67"/>
        <v>0.15302440896702349</v>
      </c>
      <c r="P102" s="388"/>
      <c r="Q102" s="626">
        <f t="shared" ref="Q102:R102" si="68">+Q100+Q101</f>
        <v>4332153206.727807</v>
      </c>
      <c r="R102" s="626">
        <f t="shared" si="68"/>
        <v>1232563275.2036378</v>
      </c>
      <c r="S102" s="626">
        <f>+S100+S101</f>
        <v>3099589931.524169</v>
      </c>
      <c r="T102" s="388"/>
      <c r="U102" s="415">
        <f t="shared" ref="U102:V102" si="69">+U98/U10</f>
        <v>0.45862934159121055</v>
      </c>
      <c r="V102" s="415" t="e">
        <f t="shared" si="69"/>
        <v>#DIV/0!</v>
      </c>
      <c r="W102" s="670"/>
      <c r="X102" s="670"/>
      <c r="Y102" s="415" t="e">
        <f t="shared" ref="Y102" si="70">+Y98/Y10</f>
        <v>#DIV/0!</v>
      </c>
    </row>
    <row r="103" spans="1:26" s="415" customFormat="1" ht="10.199999999999999">
      <c r="C103" s="415">
        <f t="shared" ref="C103:O103" si="71">+C22/C10</f>
        <v>0.41635675727718552</v>
      </c>
      <c r="D103" s="669">
        <f t="shared" si="71"/>
        <v>0.44018496304437754</v>
      </c>
      <c r="E103" s="415">
        <f t="shared" si="71"/>
        <v>0.29239872563414909</v>
      </c>
      <c r="F103" s="415">
        <f t="shared" si="71"/>
        <v>0.4604150558750908</v>
      </c>
      <c r="G103" s="415">
        <f t="shared" si="71"/>
        <v>0.48913687477613083</v>
      </c>
      <c r="H103" s="415">
        <f t="shared" si="71"/>
        <v>0.40871496012493796</v>
      </c>
      <c r="I103" s="415">
        <f t="shared" si="71"/>
        <v>0.47424563255440655</v>
      </c>
      <c r="J103" s="415">
        <f t="shared" si="71"/>
        <v>0.43336089193084626</v>
      </c>
      <c r="K103" s="415">
        <f t="shared" si="71"/>
        <v>0.39288963693368767</v>
      </c>
      <c r="L103" s="415">
        <f t="shared" si="71"/>
        <v>0.19936755137239234</v>
      </c>
      <c r="M103" s="415">
        <f t="shared" si="71"/>
        <v>0.42950259325049372</v>
      </c>
      <c r="N103" s="415">
        <f t="shared" si="71"/>
        <v>0.55138720151227472</v>
      </c>
      <c r="O103" s="415">
        <f t="shared" si="71"/>
        <v>0.402405441310414</v>
      </c>
      <c r="P103" s="388"/>
      <c r="Q103" s="388"/>
      <c r="R103" s="388"/>
      <c r="S103" s="626">
        <f>+L19</f>
        <v>3102988180</v>
      </c>
      <c r="T103" s="388"/>
      <c r="U103" s="415">
        <f t="shared" ref="U103:V103" si="72">+U22/U10</f>
        <v>0.9813739609851112</v>
      </c>
      <c r="V103" s="415" t="e">
        <f t="shared" si="72"/>
        <v>#DIV/0!</v>
      </c>
      <c r="W103" s="670"/>
      <c r="X103" s="670"/>
      <c r="Y103" s="415" t="e">
        <f t="shared" ref="Y103" si="73">+Y22/Y10</f>
        <v>#DIV/0!</v>
      </c>
    </row>
    <row r="104" spans="1:26" s="388" customFormat="1" ht="10.199999999999999">
      <c r="C104" s="630">
        <f t="shared" ref="C104:O104" si="74">+C95-C96</f>
        <v>1596434732.4900005</v>
      </c>
      <c r="D104" s="630">
        <f>+D95-D96</f>
        <v>1887110875.9299989</v>
      </c>
      <c r="E104" s="630">
        <f>+E95-E96</f>
        <v>95069400.059999704</v>
      </c>
      <c r="F104" s="630">
        <f t="shared" si="74"/>
        <v>204183057.17000002</v>
      </c>
      <c r="G104" s="630">
        <f>+G95-G96</f>
        <v>499019562.2027272</v>
      </c>
      <c r="H104" s="630">
        <f t="shared" si="74"/>
        <v>1889210385.2993884</v>
      </c>
      <c r="I104" s="630">
        <f t="shared" si="74"/>
        <v>1470907865.318181</v>
      </c>
      <c r="J104" s="630">
        <f>+J95</f>
        <v>6550449378.9800014</v>
      </c>
      <c r="K104" s="630">
        <f t="shared" si="74"/>
        <v>2934970783.3265505</v>
      </c>
      <c r="L104" s="630">
        <f t="shared" si="74"/>
        <v>1229165026.727808</v>
      </c>
      <c r="M104" s="630">
        <f t="shared" si="74"/>
        <v>3558353929.4499993</v>
      </c>
      <c r="N104" s="630">
        <f t="shared" si="74"/>
        <v>3428680420.7799997</v>
      </c>
      <c r="O104" s="630">
        <f t="shared" si="74"/>
        <v>25310049992.360832</v>
      </c>
      <c r="P104" s="630"/>
      <c r="Q104" s="630"/>
      <c r="R104" s="630"/>
      <c r="S104" s="630">
        <f>+S102-S103</f>
        <v>-3398248.4758310318</v>
      </c>
      <c r="T104" s="630"/>
      <c r="U104" s="626"/>
      <c r="V104" s="626"/>
      <c r="W104" s="626"/>
      <c r="X104" s="626"/>
      <c r="Y104" s="626"/>
    </row>
    <row r="105" spans="1:26" s="390" customFormat="1" ht="10.199999999999999">
      <c r="B105" s="671"/>
      <c r="C105" s="672">
        <f t="shared" ref="C105:G105" si="75">+C98-C85-C68</f>
        <v>1440716334.8400004</v>
      </c>
      <c r="D105" s="672">
        <f t="shared" si="75"/>
        <v>1635787818.1499987</v>
      </c>
      <c r="E105" s="672">
        <f t="shared" si="75"/>
        <v>192195571.35999969</v>
      </c>
      <c r="F105" s="672">
        <f t="shared" si="75"/>
        <v>70617343.410000026</v>
      </c>
      <c r="G105" s="672">
        <f t="shared" si="75"/>
        <v>280692691.99272716</v>
      </c>
      <c r="H105" s="672">
        <f t="shared" ref="H105:O105" si="76">+H98-H85</f>
        <v>892562072.73938823</v>
      </c>
      <c r="I105" s="672">
        <f t="shared" si="76"/>
        <v>2988742478.5581813</v>
      </c>
      <c r="J105" s="672">
        <f>+J98-J85</f>
        <v>4759901741.8261843</v>
      </c>
      <c r="K105" s="672">
        <f t="shared" si="76"/>
        <v>2180506110.30655</v>
      </c>
      <c r="L105" s="672">
        <f t="shared" si="76"/>
        <v>809422458.74780798</v>
      </c>
      <c r="M105" s="672">
        <f t="shared" si="76"/>
        <v>2369157303.7099996</v>
      </c>
      <c r="N105" s="672">
        <f t="shared" si="76"/>
        <v>2134175754.29</v>
      </c>
      <c r="O105" s="672">
        <f t="shared" si="76"/>
        <v>19572254677.290833</v>
      </c>
      <c r="P105" s="672"/>
      <c r="Q105" s="672"/>
      <c r="R105" s="672"/>
      <c r="S105" s="672"/>
      <c r="T105" s="672"/>
      <c r="U105" s="594"/>
      <c r="V105" s="595"/>
      <c r="W105" s="595"/>
      <c r="X105" s="595"/>
      <c r="Y105" s="595"/>
    </row>
    <row r="106" spans="1:26" s="390" customFormat="1" ht="10.199999999999999">
      <c r="B106" s="671"/>
      <c r="C106" s="673"/>
      <c r="D106" s="672"/>
      <c r="E106" s="672"/>
      <c r="F106" s="672"/>
      <c r="G106" s="672"/>
      <c r="H106" s="674">
        <f t="shared" ref="H106:I106" si="77">+H105/H10</f>
        <v>0.10281932171583628</v>
      </c>
      <c r="I106" s="674">
        <f t="shared" si="77"/>
        <v>0.28926210552746695</v>
      </c>
      <c r="J106" s="674">
        <f>+J105/J10</f>
        <v>0.21694510085978946</v>
      </c>
      <c r="K106" s="674">
        <f>+K105/K10</f>
        <v>0.13217746692615964</v>
      </c>
      <c r="L106" s="674">
        <f t="shared" ref="L106:O106" si="78">+L105/L10</f>
        <v>4.5683254426256224E-2</v>
      </c>
      <c r="M106" s="674">
        <f t="shared" si="78"/>
        <v>0.17583344455082003</v>
      </c>
      <c r="N106" s="672">
        <f t="shared" si="78"/>
        <v>0.21558138259612469</v>
      </c>
      <c r="O106" s="674">
        <f t="shared" si="78"/>
        <v>0.15580587058417295</v>
      </c>
      <c r="P106" s="674"/>
      <c r="Q106" s="674"/>
      <c r="R106" s="674"/>
      <c r="S106" s="674"/>
      <c r="T106" s="674"/>
      <c r="U106" s="594"/>
      <c r="V106" s="595"/>
      <c r="W106" s="595"/>
      <c r="X106" s="595"/>
      <c r="Y106" s="595"/>
    </row>
    <row r="107" spans="1:26" s="390" customFormat="1" ht="10.199999999999999">
      <c r="B107" s="671"/>
      <c r="C107" s="616"/>
      <c r="D107" s="672"/>
      <c r="E107" s="672"/>
      <c r="F107" s="672"/>
      <c r="G107" s="672"/>
      <c r="H107" s="672"/>
      <c r="I107" s="672"/>
      <c r="J107" s="672"/>
      <c r="K107" s="672"/>
      <c r="L107" s="672"/>
      <c r="M107" s="672"/>
      <c r="N107" s="672">
        <f>+O98-O107</f>
        <v>19996943624.78083</v>
      </c>
      <c r="O107" s="672">
        <f>+O68+O85</f>
        <v>-774094749.35000026</v>
      </c>
      <c r="P107" s="672"/>
      <c r="Q107" s="672"/>
      <c r="R107" s="672"/>
      <c r="S107" s="672"/>
      <c r="T107" s="672"/>
      <c r="U107" s="594"/>
      <c r="V107" s="595"/>
      <c r="W107" s="595"/>
      <c r="X107" s="595"/>
      <c r="Y107" s="595"/>
    </row>
    <row r="108" spans="1:26" s="684" customFormat="1" ht="13.8">
      <c r="A108" s="1110" t="s">
        <v>743</v>
      </c>
      <c r="B108" s="1110"/>
      <c r="C108" s="675">
        <v>1433053.75</v>
      </c>
      <c r="D108" s="676">
        <v>2540869.44</v>
      </c>
      <c r="E108" s="677">
        <v>1880342.41</v>
      </c>
      <c r="F108" s="677">
        <v>1457997.79</v>
      </c>
      <c r="G108" s="676">
        <v>1433053.75</v>
      </c>
      <c r="H108" s="676">
        <v>1433053.75</v>
      </c>
      <c r="I108" s="676">
        <v>1509350.79</v>
      </c>
      <c r="J108" s="676">
        <v>1820832.44</v>
      </c>
      <c r="K108" s="678">
        <v>1817340.46</v>
      </c>
      <c r="L108" s="678">
        <v>2237598.09</v>
      </c>
      <c r="M108" s="679">
        <v>2871503.71</v>
      </c>
      <c r="N108" s="678">
        <v>1667599.96</v>
      </c>
      <c r="O108" s="680">
        <f t="shared" ref="O108:O117" si="79">SUM(C108:N108)</f>
        <v>22102596.34</v>
      </c>
      <c r="P108" s="681"/>
      <c r="Q108" s="681"/>
      <c r="R108" s="681" t="s">
        <v>1160</v>
      </c>
      <c r="S108" s="681"/>
      <c r="T108" s="681"/>
      <c r="U108" s="682"/>
      <c r="V108" s="683"/>
      <c r="W108" s="683"/>
      <c r="X108" s="683"/>
      <c r="Y108" s="683"/>
    </row>
    <row r="109" spans="1:26" s="684" customFormat="1" ht="13.8">
      <c r="A109" s="1110" t="s">
        <v>744</v>
      </c>
      <c r="B109" s="1110"/>
      <c r="C109" s="675">
        <v>157711602.99000001</v>
      </c>
      <c r="D109" s="676">
        <v>155517494.83000001</v>
      </c>
      <c r="E109" s="676">
        <v>170843664.05000001</v>
      </c>
      <c r="F109" s="677">
        <v>148753263.58000001</v>
      </c>
      <c r="G109" s="676">
        <v>175086281.19999999</v>
      </c>
      <c r="H109" s="676">
        <v>190528707.96000001</v>
      </c>
      <c r="I109" s="676">
        <v>121779408.45999999</v>
      </c>
      <c r="J109" s="676">
        <v>246108364.53999999</v>
      </c>
      <c r="K109" s="678">
        <v>247466458</v>
      </c>
      <c r="L109" s="678">
        <v>238388236.25</v>
      </c>
      <c r="M109" s="679">
        <v>242585413.81999999</v>
      </c>
      <c r="N109" s="678">
        <v>148623321</v>
      </c>
      <c r="O109" s="680">
        <f t="shared" si="79"/>
        <v>2243392216.6800003</v>
      </c>
      <c r="P109" s="681"/>
      <c r="Q109" s="681"/>
      <c r="R109" s="681"/>
      <c r="S109" s="681"/>
      <c r="T109" s="681"/>
      <c r="U109" s="682"/>
      <c r="V109" s="683"/>
      <c r="W109" s="683"/>
      <c r="X109" s="683"/>
      <c r="Y109" s="683"/>
    </row>
    <row r="110" spans="1:26" s="684" customFormat="1" ht="13.8">
      <c r="A110" s="1110" t="s">
        <v>745</v>
      </c>
      <c r="B110" s="1110"/>
      <c r="C110" s="675">
        <v>19264157.75</v>
      </c>
      <c r="D110" s="676">
        <v>19044872.100000001</v>
      </c>
      <c r="E110" s="676">
        <v>20873367.149999999</v>
      </c>
      <c r="F110" s="677">
        <v>17749820.77</v>
      </c>
      <c r="G110" s="676">
        <v>21144638.449999999</v>
      </c>
      <c r="H110" s="676">
        <v>22985170.280000001</v>
      </c>
      <c r="I110" s="676">
        <v>30196722.149999999</v>
      </c>
      <c r="J110" s="676">
        <v>29795455.02</v>
      </c>
      <c r="K110" s="679">
        <v>29840006.57</v>
      </c>
      <c r="L110" s="679">
        <v>28787384.690000001</v>
      </c>
      <c r="M110" s="679">
        <v>29257357.870000001</v>
      </c>
      <c r="N110" s="678">
        <v>25106668.690000001</v>
      </c>
      <c r="O110" s="680">
        <f t="shared" si="79"/>
        <v>294045621.49000001</v>
      </c>
      <c r="P110" s="681"/>
      <c r="Q110" s="681">
        <v>3101</v>
      </c>
      <c r="R110" s="681"/>
      <c r="S110" s="681">
        <v>857000000</v>
      </c>
      <c r="T110" s="681"/>
      <c r="U110" s="682"/>
      <c r="V110" s="683"/>
      <c r="W110" s="683"/>
      <c r="X110" s="683"/>
      <c r="Y110" s="683"/>
    </row>
    <row r="111" spans="1:26" s="684" customFormat="1" ht="13.8">
      <c r="A111" s="1110" t="s">
        <v>746</v>
      </c>
      <c r="B111" s="1110"/>
      <c r="C111" s="675">
        <v>32887738.719999999</v>
      </c>
      <c r="D111" s="676">
        <v>23078387.120000001</v>
      </c>
      <c r="E111" s="676">
        <v>13424201.6</v>
      </c>
      <c r="F111" s="677">
        <v>21162937.52</v>
      </c>
      <c r="G111" s="676">
        <v>24017220.670000002</v>
      </c>
      <c r="H111" s="676">
        <v>10828327.060000001</v>
      </c>
      <c r="I111" s="676">
        <v>28053833.09</v>
      </c>
      <c r="J111" s="676">
        <v>17988816.77</v>
      </c>
      <c r="K111" s="679">
        <v>40676023.939999998</v>
      </c>
      <c r="L111" s="679">
        <v>46615709.710000001</v>
      </c>
      <c r="M111" s="679">
        <v>43682369.210000001</v>
      </c>
      <c r="N111" s="678">
        <v>42484192.090000004</v>
      </c>
      <c r="O111" s="680">
        <f t="shared" si="79"/>
        <v>344899757.5</v>
      </c>
      <c r="P111" s="681"/>
      <c r="Q111" s="681">
        <v>1803</v>
      </c>
      <c r="R111" s="681">
        <v>857000000</v>
      </c>
      <c r="S111" s="681"/>
      <c r="T111" s="681"/>
      <c r="U111" s="682"/>
      <c r="V111" s="683"/>
      <c r="W111" s="683"/>
      <c r="X111" s="683"/>
      <c r="Y111" s="683"/>
    </row>
    <row r="112" spans="1:26" s="684" customFormat="1" ht="13.8">
      <c r="A112" s="1110" t="s">
        <v>747</v>
      </c>
      <c r="B112" s="1110"/>
      <c r="C112" s="675">
        <v>464450</v>
      </c>
      <c r="D112" s="676">
        <v>217690</v>
      </c>
      <c r="E112" s="676">
        <v>56150</v>
      </c>
      <c r="F112" s="677">
        <v>802920.73</v>
      </c>
      <c r="G112" s="676">
        <v>845705</v>
      </c>
      <c r="H112" s="676">
        <v>668166</v>
      </c>
      <c r="I112" s="676">
        <v>1564594</v>
      </c>
      <c r="J112" s="676">
        <v>289800</v>
      </c>
      <c r="K112" s="679">
        <v>125700</v>
      </c>
      <c r="L112" s="679">
        <v>290720</v>
      </c>
      <c r="M112" s="679">
        <v>470605.85</v>
      </c>
      <c r="N112" s="678">
        <v>775883.19</v>
      </c>
      <c r="O112" s="680">
        <f t="shared" si="79"/>
        <v>6572384.7699999996</v>
      </c>
      <c r="P112" s="681"/>
      <c r="Q112" s="681"/>
      <c r="R112" s="681"/>
      <c r="S112" s="681"/>
      <c r="T112" s="681"/>
      <c r="U112" s="682"/>
      <c r="V112" s="683"/>
      <c r="W112" s="683"/>
      <c r="X112" s="683"/>
      <c r="Y112" s="683"/>
    </row>
    <row r="113" spans="1:25" s="684" customFormat="1" ht="13.8">
      <c r="A113" s="1110" t="s">
        <v>748</v>
      </c>
      <c r="B113" s="1110"/>
      <c r="C113" s="675">
        <v>40577542.649999999</v>
      </c>
      <c r="D113" s="677">
        <v>40975447.090000004</v>
      </c>
      <c r="E113" s="676">
        <v>40006464.140000001</v>
      </c>
      <c r="F113" s="677">
        <v>25976534.640000001</v>
      </c>
      <c r="G113" s="676">
        <v>34270608.200000003</v>
      </c>
      <c r="H113" s="676">
        <v>49881854.189999998</v>
      </c>
      <c r="I113" s="676">
        <v>41835100.030000001</v>
      </c>
      <c r="J113" s="676">
        <v>111461042.15000001</v>
      </c>
      <c r="K113" s="679">
        <v>93696764.290000007</v>
      </c>
      <c r="L113" s="679">
        <v>57308692.280000001</v>
      </c>
      <c r="M113" s="679">
        <v>81329099.269999996</v>
      </c>
      <c r="N113" s="678">
        <v>79584898.049999997</v>
      </c>
      <c r="O113" s="680">
        <f t="shared" si="79"/>
        <v>696904046.98000002</v>
      </c>
      <c r="P113" s="681"/>
      <c r="Q113" s="681">
        <v>1803</v>
      </c>
      <c r="R113" s="681"/>
      <c r="S113" s="681">
        <f>+R111</f>
        <v>857000000</v>
      </c>
      <c r="T113" s="681"/>
      <c r="U113" s="682"/>
      <c r="V113" s="683"/>
      <c r="W113" s="683"/>
      <c r="X113" s="683"/>
      <c r="Y113" s="683"/>
    </row>
    <row r="114" spans="1:25" s="684" customFormat="1" ht="13.8">
      <c r="A114" s="1110" t="s">
        <v>749</v>
      </c>
      <c r="B114" s="1110"/>
      <c r="C114" s="675">
        <v>20961415.079999998</v>
      </c>
      <c r="D114" s="676">
        <v>12510563.75</v>
      </c>
      <c r="E114" s="676">
        <v>8592634.1099999994</v>
      </c>
      <c r="F114" s="677">
        <v>2821459.7</v>
      </c>
      <c r="G114" s="676">
        <v>5246086.12</v>
      </c>
      <c r="H114" s="676">
        <v>17174442.43</v>
      </c>
      <c r="I114" s="676">
        <v>15375278.970000001</v>
      </c>
      <c r="J114" s="676">
        <v>13392062.09</v>
      </c>
      <c r="K114" s="679">
        <v>9800560.4299999997</v>
      </c>
      <c r="L114" s="679">
        <v>17702430.34</v>
      </c>
      <c r="M114" s="679">
        <v>17511872.109999999</v>
      </c>
      <c r="N114" s="678">
        <v>48083723.539999999</v>
      </c>
      <c r="O114" s="680">
        <f t="shared" si="79"/>
        <v>189172528.66999999</v>
      </c>
      <c r="P114" s="681"/>
      <c r="Q114" s="681">
        <v>6101</v>
      </c>
      <c r="R114" s="681">
        <f>+S113</f>
        <v>857000000</v>
      </c>
      <c r="S114" s="681"/>
      <c r="T114" s="681"/>
      <c r="U114" s="682"/>
      <c r="V114" s="683"/>
      <c r="W114" s="683"/>
      <c r="X114" s="683"/>
      <c r="Y114" s="683"/>
    </row>
    <row r="115" spans="1:25" s="684" customFormat="1" ht="13.8">
      <c r="A115" s="1110" t="s">
        <v>750</v>
      </c>
      <c r="B115" s="1110"/>
      <c r="C115" s="675">
        <f>121986.49+50000</f>
        <v>171986.49</v>
      </c>
      <c r="D115" s="676">
        <v>179712.7</v>
      </c>
      <c r="E115" s="676">
        <v>723963.7</v>
      </c>
      <c r="F115" s="677">
        <v>293801.92</v>
      </c>
      <c r="G115" s="676">
        <v>205202.34</v>
      </c>
      <c r="H115" s="676">
        <f>485922.61+19674</f>
        <v>505596.61</v>
      </c>
      <c r="I115" s="676">
        <v>2731480.28</v>
      </c>
      <c r="J115" s="676">
        <v>3128946.32</v>
      </c>
      <c r="K115" s="679">
        <v>2301105.1</v>
      </c>
      <c r="L115" s="679">
        <v>2322928.2200000002</v>
      </c>
      <c r="M115" s="679">
        <v>2298894.84</v>
      </c>
      <c r="N115" s="678">
        <v>2746509.48</v>
      </c>
      <c r="O115" s="680">
        <f t="shared" si="79"/>
        <v>17610128</v>
      </c>
      <c r="P115" s="681"/>
      <c r="Q115" s="681"/>
      <c r="R115" s="681"/>
      <c r="S115" s="681"/>
      <c r="T115" s="681"/>
      <c r="U115" s="682"/>
      <c r="V115" s="683"/>
      <c r="W115" s="683"/>
      <c r="X115" s="683"/>
      <c r="Y115" s="683"/>
    </row>
    <row r="116" spans="1:25" s="684" customFormat="1" ht="13.8">
      <c r="A116" s="1110" t="s">
        <v>751</v>
      </c>
      <c r="B116" s="1110"/>
      <c r="C116" s="675">
        <v>2012028.69</v>
      </c>
      <c r="D116" s="676">
        <v>3126542.18</v>
      </c>
      <c r="E116" s="676">
        <v>2488839.85</v>
      </c>
      <c r="F116" s="677">
        <v>2196099.92</v>
      </c>
      <c r="G116" s="676">
        <v>1284926.73</v>
      </c>
      <c r="H116" s="676">
        <v>3507266.72</v>
      </c>
      <c r="I116" s="676">
        <v>406818.18</v>
      </c>
      <c r="J116" s="676">
        <v>3516944.71</v>
      </c>
      <c r="K116" s="679">
        <v>4096187.08</v>
      </c>
      <c r="L116" s="679">
        <v>2382997.7200000002</v>
      </c>
      <c r="M116" s="679">
        <v>5003659.57</v>
      </c>
      <c r="N116" s="678">
        <v>2816398.4</v>
      </c>
      <c r="O116" s="680">
        <f t="shared" si="79"/>
        <v>32838709.75</v>
      </c>
      <c r="P116" s="681"/>
      <c r="Q116" s="681"/>
      <c r="R116" s="681" t="s">
        <v>1161</v>
      </c>
      <c r="S116" s="681"/>
      <c r="T116" s="681"/>
      <c r="U116" s="682"/>
      <c r="V116" s="683"/>
      <c r="W116" s="683"/>
      <c r="X116" s="683"/>
      <c r="Y116" s="683"/>
    </row>
    <row r="117" spans="1:25" s="684" customFormat="1" ht="13.8">
      <c r="A117" s="1110" t="s">
        <v>752</v>
      </c>
      <c r="B117" s="1110"/>
      <c r="C117" s="675">
        <v>27263378.25</v>
      </c>
      <c r="D117" s="676">
        <v>19463373.850000001</v>
      </c>
      <c r="E117" s="676">
        <v>21463590.43</v>
      </c>
      <c r="F117" s="677">
        <v>23754862.719999999</v>
      </c>
      <c r="G117" s="676">
        <v>22525231.539999999</v>
      </c>
      <c r="H117" s="676">
        <v>24001826.449999999</v>
      </c>
      <c r="I117" s="676">
        <v>20969170.620000001</v>
      </c>
      <c r="J117" s="676">
        <v>29639650.870000001</v>
      </c>
      <c r="K117" s="679">
        <v>24255249.210000001</v>
      </c>
      <c r="L117" s="679">
        <v>25951280.870000001</v>
      </c>
      <c r="M117" s="679">
        <v>23539016.949999999</v>
      </c>
      <c r="N117" s="678">
        <v>28375548.629999999</v>
      </c>
      <c r="O117" s="680">
        <f t="shared" si="79"/>
        <v>291202180.38999999</v>
      </c>
      <c r="P117" s="681"/>
      <c r="Q117" s="681"/>
      <c r="R117" s="681"/>
      <c r="S117" s="681"/>
      <c r="T117" s="681"/>
      <c r="U117" s="682"/>
      <c r="V117" s="683"/>
      <c r="W117" s="683"/>
      <c r="X117" s="683"/>
      <c r="Y117" s="683"/>
    </row>
    <row r="118" spans="1:25" s="684" customFormat="1" ht="13.8">
      <c r="A118" s="1110" t="s">
        <v>1162</v>
      </c>
      <c r="B118" s="1110"/>
      <c r="C118" s="675"/>
      <c r="D118" s="676">
        <v>1300000</v>
      </c>
      <c r="E118" s="676"/>
      <c r="F118" s="677">
        <v>520000</v>
      </c>
      <c r="G118" s="676"/>
      <c r="H118" s="676"/>
      <c r="I118" s="676"/>
      <c r="J118" s="676"/>
      <c r="K118" s="679"/>
      <c r="L118" s="679"/>
      <c r="M118" s="679"/>
      <c r="N118" s="678"/>
      <c r="O118" s="680">
        <f t="shared" ref="O118:O132" si="80">SUM(C118:K118)</f>
        <v>1820000</v>
      </c>
      <c r="P118" s="681"/>
      <c r="Q118" s="681">
        <v>3101</v>
      </c>
      <c r="R118" s="681">
        <f>+R122</f>
        <v>0</v>
      </c>
      <c r="S118" s="681"/>
      <c r="T118" s="681"/>
      <c r="U118" s="682"/>
      <c r="V118" s="683"/>
      <c r="W118" s="683"/>
      <c r="X118" s="683"/>
      <c r="Y118" s="683"/>
    </row>
    <row r="119" spans="1:25" s="684" customFormat="1" ht="13.8">
      <c r="A119" s="1110" t="s">
        <v>753</v>
      </c>
      <c r="B119" s="1110"/>
      <c r="C119" s="675">
        <v>2686509.75</v>
      </c>
      <c r="D119" s="676">
        <v>1265898.31</v>
      </c>
      <c r="E119" s="676">
        <v>3751440.41</v>
      </c>
      <c r="F119" s="677">
        <v>1804114.91</v>
      </c>
      <c r="G119" s="676">
        <v>2920949.74</v>
      </c>
      <c r="H119" s="676">
        <v>930567.7</v>
      </c>
      <c r="I119" s="676">
        <v>667677.78</v>
      </c>
      <c r="J119" s="676">
        <v>762192.95</v>
      </c>
      <c r="K119" s="679">
        <v>3461857.09</v>
      </c>
      <c r="L119" s="679">
        <v>3594992.69</v>
      </c>
      <c r="M119" s="679">
        <v>1030058.39</v>
      </c>
      <c r="N119" s="678">
        <v>8310200.5700000003</v>
      </c>
      <c r="O119" s="680">
        <f t="shared" ref="O119:O128" si="81">SUM(C119:N119)</f>
        <v>31186460.290000003</v>
      </c>
      <c r="P119" s="681"/>
      <c r="Q119" s="681">
        <v>1803</v>
      </c>
      <c r="R119" s="681"/>
      <c r="S119" s="681">
        <f>+R118</f>
        <v>0</v>
      </c>
      <c r="T119" s="681"/>
      <c r="U119" s="682"/>
      <c r="V119" s="683"/>
      <c r="W119" s="683"/>
      <c r="X119" s="683"/>
      <c r="Y119" s="683"/>
    </row>
    <row r="120" spans="1:25" s="684" customFormat="1" ht="13.8">
      <c r="A120" s="1110" t="s">
        <v>754</v>
      </c>
      <c r="B120" s="1110"/>
      <c r="C120" s="675">
        <f>107890002.86</f>
        <v>107890002.86</v>
      </c>
      <c r="D120" s="676">
        <v>59577177.909999996</v>
      </c>
      <c r="E120" s="676">
        <v>67809560.799999997</v>
      </c>
      <c r="F120" s="677">
        <v>89780334.459999993</v>
      </c>
      <c r="G120" s="676">
        <v>198992757.63</v>
      </c>
      <c r="H120" s="676">
        <v>304386865.31</v>
      </c>
      <c r="I120" s="676">
        <v>572299413.60000002</v>
      </c>
      <c r="J120" s="676">
        <v>1013956535.49</v>
      </c>
      <c r="K120" s="679">
        <f>596042315.82</f>
        <v>596042315.82000005</v>
      </c>
      <c r="L120" s="679">
        <v>443193050.43000001</v>
      </c>
      <c r="M120" s="679">
        <v>270771751.58999997</v>
      </c>
      <c r="N120" s="678">
        <v>241398869.30000001</v>
      </c>
      <c r="O120" s="680">
        <f t="shared" si="81"/>
        <v>3966098635.2000008</v>
      </c>
      <c r="P120" s="681"/>
      <c r="Q120" s="681"/>
      <c r="R120" s="681"/>
      <c r="S120" s="681"/>
      <c r="T120" s="681"/>
      <c r="U120" s="682"/>
      <c r="V120" s="683"/>
      <c r="W120" s="683"/>
      <c r="X120" s="683"/>
      <c r="Y120" s="683"/>
    </row>
    <row r="121" spans="1:25" s="684" customFormat="1" ht="13.8">
      <c r="A121" s="1110" t="s">
        <v>755</v>
      </c>
      <c r="B121" s="1110"/>
      <c r="C121" s="675"/>
      <c r="D121" s="676">
        <v>251727.62</v>
      </c>
      <c r="E121" s="676">
        <v>377185.95</v>
      </c>
      <c r="F121" s="677">
        <v>254463.62</v>
      </c>
      <c r="G121" s="676">
        <v>572000.17000000004</v>
      </c>
      <c r="H121" s="676">
        <v>876504.38</v>
      </c>
      <c r="I121" s="676">
        <v>956929.84</v>
      </c>
      <c r="J121" s="676">
        <v>579750.68000000005</v>
      </c>
      <c r="K121" s="679">
        <v>611695.43999999994</v>
      </c>
      <c r="L121" s="679">
        <v>656719.16</v>
      </c>
      <c r="M121" s="679">
        <v>918553.51</v>
      </c>
      <c r="N121" s="678">
        <v>1144640</v>
      </c>
      <c r="O121" s="680">
        <f t="shared" si="81"/>
        <v>7200170.3700000001</v>
      </c>
      <c r="P121" s="681"/>
      <c r="Q121" s="681">
        <v>1803</v>
      </c>
      <c r="R121" s="681">
        <v>376900000</v>
      </c>
      <c r="S121" s="681"/>
      <c r="T121" s="681"/>
      <c r="U121" s="682"/>
      <c r="V121" s="683"/>
      <c r="W121" s="683"/>
      <c r="X121" s="683"/>
      <c r="Y121" s="683"/>
    </row>
    <row r="122" spans="1:25" s="684" customFormat="1" ht="13.8">
      <c r="A122" s="1110" t="s">
        <v>756</v>
      </c>
      <c r="B122" s="1110"/>
      <c r="C122" s="675">
        <v>907883</v>
      </c>
      <c r="D122" s="676">
        <v>1285813.21</v>
      </c>
      <c r="E122" s="676">
        <v>2166321.4500000002</v>
      </c>
      <c r="F122" s="677">
        <v>1768581</v>
      </c>
      <c r="G122" s="676">
        <v>784227</v>
      </c>
      <c r="H122" s="676"/>
      <c r="I122" s="676"/>
      <c r="J122" s="676"/>
      <c r="K122" s="679">
        <v>42568.2</v>
      </c>
      <c r="L122" s="679">
        <v>1377170.25</v>
      </c>
      <c r="M122" s="679">
        <v>1964526.25</v>
      </c>
      <c r="N122" s="678">
        <v>2968859.56</v>
      </c>
      <c r="O122" s="680">
        <f t="shared" si="81"/>
        <v>13265949.92</v>
      </c>
      <c r="P122" s="681"/>
      <c r="Q122" s="681">
        <v>6101</v>
      </c>
      <c r="R122" s="681"/>
      <c r="S122" s="681">
        <f>+R121</f>
        <v>376900000</v>
      </c>
      <c r="T122" s="681"/>
      <c r="U122" s="682"/>
      <c r="V122" s="683"/>
      <c r="W122" s="683"/>
      <c r="X122" s="683"/>
      <c r="Y122" s="683"/>
    </row>
    <row r="123" spans="1:25" s="684" customFormat="1" ht="13.8">
      <c r="A123" s="1110" t="s">
        <v>757</v>
      </c>
      <c r="B123" s="1110"/>
      <c r="C123" s="675">
        <v>2462667.09</v>
      </c>
      <c r="D123" s="676">
        <v>4759002.67</v>
      </c>
      <c r="E123" s="676">
        <v>2261827.29</v>
      </c>
      <c r="F123" s="677">
        <v>4149300.95</v>
      </c>
      <c r="G123" s="676">
        <v>2861816.98</v>
      </c>
      <c r="H123" s="676">
        <v>6203989.2999999998</v>
      </c>
      <c r="I123" s="676">
        <v>5870833.7999999998</v>
      </c>
      <c r="J123" s="676">
        <v>9539995.4700000007</v>
      </c>
      <c r="K123" s="679">
        <v>7601985.3399999999</v>
      </c>
      <c r="L123" s="679">
        <v>7647727.9800000004</v>
      </c>
      <c r="M123" s="679">
        <v>6544764.5300000003</v>
      </c>
      <c r="N123" s="678">
        <v>23274395.48</v>
      </c>
      <c r="O123" s="680">
        <f t="shared" si="81"/>
        <v>83178306.88000001</v>
      </c>
      <c r="P123" s="681"/>
      <c r="Q123" s="681"/>
      <c r="R123" s="681"/>
      <c r="S123" s="681"/>
      <c r="T123" s="681"/>
      <c r="U123" s="682"/>
      <c r="V123" s="683"/>
      <c r="W123" s="683"/>
      <c r="X123" s="683"/>
      <c r="Y123" s="683"/>
    </row>
    <row r="124" spans="1:25" s="684" customFormat="1" ht="13.8">
      <c r="A124" s="1110" t="s">
        <v>1016</v>
      </c>
      <c r="B124" s="1110"/>
      <c r="C124" s="675">
        <f>4000000+8632165.7</f>
        <v>12632165.699999999</v>
      </c>
      <c r="D124" s="676">
        <v>9382717.2300000004</v>
      </c>
      <c r="E124" s="676">
        <v>9187802.2400000002</v>
      </c>
      <c r="F124" s="677">
        <v>4993245.71</v>
      </c>
      <c r="G124" s="676">
        <v>8202376.0800000001</v>
      </c>
      <c r="H124" s="676">
        <v>8901492.0099999998</v>
      </c>
      <c r="I124" s="676">
        <v>8547710.4700000007</v>
      </c>
      <c r="J124" s="676">
        <v>9597886.8599999994</v>
      </c>
      <c r="K124" s="679">
        <v>8623755.9800000004</v>
      </c>
      <c r="L124" s="679">
        <v>9689325.7300000004</v>
      </c>
      <c r="M124" s="679">
        <v>10115624.01</v>
      </c>
      <c r="N124" s="678">
        <v>10901562.779999999</v>
      </c>
      <c r="O124" s="680">
        <f t="shared" si="81"/>
        <v>110775664.80000001</v>
      </c>
      <c r="P124" s="681"/>
      <c r="Q124" s="681"/>
      <c r="R124" s="681"/>
      <c r="S124" s="681"/>
      <c r="T124" s="681"/>
      <c r="U124" s="682"/>
      <c r="V124" s="683"/>
      <c r="W124" s="683"/>
      <c r="X124" s="683"/>
      <c r="Y124" s="683"/>
    </row>
    <row r="125" spans="1:25" s="684" customFormat="1" ht="13.8">
      <c r="A125" s="1110" t="s">
        <v>758</v>
      </c>
      <c r="B125" s="1110"/>
      <c r="C125" s="675">
        <v>40724923.259999998</v>
      </c>
      <c r="D125" s="676">
        <v>42400119.619999997</v>
      </c>
      <c r="E125" s="676">
        <v>39765416.530000001</v>
      </c>
      <c r="F125" s="677">
        <v>40111594.850000001</v>
      </c>
      <c r="G125" s="676">
        <v>40781607.729999997</v>
      </c>
      <c r="H125" s="676">
        <v>47173963.289999999</v>
      </c>
      <c r="I125" s="676">
        <v>11674779.800000001</v>
      </c>
      <c r="J125" s="676">
        <v>50206223.310000002</v>
      </c>
      <c r="K125" s="678">
        <v>51411919.780000001</v>
      </c>
      <c r="L125" s="678">
        <v>55119340.659999996</v>
      </c>
      <c r="M125" s="679">
        <v>57488100.590000004</v>
      </c>
      <c r="N125" s="678">
        <v>55547506.359999999</v>
      </c>
      <c r="O125" s="680">
        <f t="shared" si="81"/>
        <v>532405495.77999997</v>
      </c>
      <c r="P125" s="681"/>
      <c r="Q125" s="681"/>
      <c r="R125" s="681"/>
      <c r="S125" s="681"/>
      <c r="T125" s="681"/>
      <c r="U125" s="682"/>
      <c r="V125" s="683"/>
      <c r="W125" s="683"/>
      <c r="X125" s="683"/>
      <c r="Y125" s="683"/>
    </row>
    <row r="126" spans="1:25" s="684" customFormat="1" ht="13.8">
      <c r="A126" s="1110" t="s">
        <v>759</v>
      </c>
      <c r="B126" s="1110"/>
      <c r="C126" s="675">
        <v>4879021.7300000004</v>
      </c>
      <c r="D126" s="676">
        <v>5911780.8899999997</v>
      </c>
      <c r="E126" s="676">
        <v>4771849.92</v>
      </c>
      <c r="F126" s="677">
        <v>4779997.87</v>
      </c>
      <c r="G126" s="676">
        <v>4888711.49</v>
      </c>
      <c r="H126" s="676">
        <v>5660875.6399999997</v>
      </c>
      <c r="I126" s="676">
        <v>7407015.8899999997</v>
      </c>
      <c r="J126" s="676">
        <v>5941367.9500000002</v>
      </c>
      <c r="K126" s="678">
        <v>6116005.5099999998</v>
      </c>
      <c r="L126" s="678">
        <v>6487403.7999999998</v>
      </c>
      <c r="M126" s="679">
        <v>6839185.6699999999</v>
      </c>
      <c r="N126" s="678">
        <v>5872926.7800000003</v>
      </c>
      <c r="O126" s="680">
        <f t="shared" si="81"/>
        <v>69556143.140000001</v>
      </c>
      <c r="P126" s="681"/>
      <c r="Q126" s="681"/>
      <c r="R126" s="681"/>
      <c r="S126" s="681"/>
      <c r="T126" s="681"/>
      <c r="U126" s="682"/>
      <c r="V126" s="683"/>
      <c r="W126" s="683"/>
      <c r="X126" s="683"/>
      <c r="Y126" s="683"/>
    </row>
    <row r="127" spans="1:25" s="684" customFormat="1" ht="13.8">
      <c r="A127" s="1110" t="s">
        <v>760</v>
      </c>
      <c r="B127" s="1110"/>
      <c r="C127" s="675">
        <v>1270482.22</v>
      </c>
      <c r="D127" s="676">
        <v>1002150</v>
      </c>
      <c r="E127" s="676">
        <v>5734200</v>
      </c>
      <c r="F127" s="677">
        <v>3024780</v>
      </c>
      <c r="G127" s="676">
        <v>1648353.46</v>
      </c>
      <c r="H127" s="676">
        <v>4218887.21</v>
      </c>
      <c r="I127" s="676">
        <v>1026700</v>
      </c>
      <c r="J127" s="676">
        <v>5500045</v>
      </c>
      <c r="K127" s="678">
        <v>4377886.6500000004</v>
      </c>
      <c r="L127" s="678">
        <v>6034158.4400000004</v>
      </c>
      <c r="M127" s="679">
        <v>3240211</v>
      </c>
      <c r="N127" s="678">
        <v>4190942.38</v>
      </c>
      <c r="O127" s="680">
        <f t="shared" si="81"/>
        <v>41268796.359999999</v>
      </c>
      <c r="P127" s="681"/>
      <c r="Q127" s="681"/>
      <c r="R127" s="681"/>
      <c r="S127" s="681"/>
      <c r="T127" s="681"/>
      <c r="U127" s="682"/>
      <c r="V127" s="683"/>
      <c r="W127" s="683"/>
      <c r="X127" s="683"/>
      <c r="Y127" s="683"/>
    </row>
    <row r="128" spans="1:25" s="684" customFormat="1" ht="13.8">
      <c r="A128" s="1110" t="s">
        <v>761</v>
      </c>
      <c r="B128" s="1110"/>
      <c r="C128" s="675">
        <v>6001256.2199999997</v>
      </c>
      <c r="D128" s="676">
        <v>14645840.59</v>
      </c>
      <c r="E128" s="676">
        <v>6637101.9299999997</v>
      </c>
      <c r="F128" s="677">
        <v>5836985.7300000004</v>
      </c>
      <c r="G128" s="676">
        <v>3022767.04</v>
      </c>
      <c r="H128" s="676">
        <v>8699379.8900000006</v>
      </c>
      <c r="I128" s="676">
        <v>9005966.8399999999</v>
      </c>
      <c r="J128" s="676">
        <v>66223603.57</v>
      </c>
      <c r="K128" s="678">
        <v>41411610.630000003</v>
      </c>
      <c r="L128" s="678">
        <v>25398432.640000001</v>
      </c>
      <c r="M128" s="679">
        <v>15745423.029999999</v>
      </c>
      <c r="N128" s="678">
        <v>37853795.18</v>
      </c>
      <c r="O128" s="680">
        <f t="shared" si="81"/>
        <v>240482163.28999999</v>
      </c>
      <c r="P128" s="681"/>
      <c r="Q128" s="681"/>
      <c r="R128" s="681"/>
      <c r="S128" s="681"/>
      <c r="T128" s="681"/>
      <c r="U128" s="682"/>
      <c r="V128" s="683"/>
      <c r="W128" s="683"/>
      <c r="X128" s="683"/>
      <c r="Y128" s="683"/>
    </row>
    <row r="129" spans="1:25" s="684" customFormat="1" ht="13.8">
      <c r="A129" s="409"/>
      <c r="B129" s="409"/>
      <c r="C129" s="675"/>
      <c r="D129" s="676"/>
      <c r="E129" s="676"/>
      <c r="F129" s="676"/>
      <c r="G129" s="676"/>
      <c r="H129" s="676"/>
      <c r="I129" s="676"/>
      <c r="J129" s="676"/>
      <c r="K129" s="678"/>
      <c r="L129" s="678"/>
      <c r="M129" s="679"/>
      <c r="N129" s="678"/>
      <c r="O129" s="680">
        <f t="shared" si="80"/>
        <v>0</v>
      </c>
      <c r="P129" s="681"/>
      <c r="Q129" s="681"/>
      <c r="R129" s="681"/>
      <c r="S129" s="681"/>
      <c r="T129" s="681"/>
      <c r="U129" s="682"/>
      <c r="V129" s="683"/>
      <c r="W129" s="683"/>
      <c r="X129" s="683"/>
      <c r="Y129" s="683"/>
    </row>
    <row r="130" spans="1:25" s="684" customFormat="1" ht="13.8">
      <c r="A130" s="1110" t="s">
        <v>762</v>
      </c>
      <c r="B130" s="1110"/>
      <c r="C130" s="675">
        <v>1170680.52</v>
      </c>
      <c r="D130" s="676">
        <v>3043457.07</v>
      </c>
      <c r="E130" s="676">
        <v>8187413.3399999999</v>
      </c>
      <c r="F130" s="676">
        <v>9599087.8800000008</v>
      </c>
      <c r="G130" s="676">
        <v>2457014.92</v>
      </c>
      <c r="H130" s="676">
        <v>2258187.14</v>
      </c>
      <c r="I130" s="676">
        <v>6822570.3300000001</v>
      </c>
      <c r="J130" s="676">
        <v>9050650.5199999996</v>
      </c>
      <c r="K130" s="678">
        <v>7304091.4100000001</v>
      </c>
      <c r="L130" s="678">
        <v>9420761.0999999996</v>
      </c>
      <c r="M130" s="679">
        <v>1968110.19</v>
      </c>
      <c r="N130" s="678">
        <v>5726907.4400000004</v>
      </c>
      <c r="O130" s="680">
        <f>SUM(C130:N130)</f>
        <v>67008931.859999992</v>
      </c>
      <c r="P130" s="681"/>
      <c r="Q130" s="681"/>
      <c r="R130" s="681"/>
      <c r="S130" s="681"/>
      <c r="T130" s="681"/>
      <c r="U130" s="682"/>
      <c r="V130" s="683"/>
      <c r="W130" s="683"/>
      <c r="X130" s="683"/>
      <c r="Y130" s="683"/>
    </row>
    <row r="131" spans="1:25" s="684" customFormat="1" ht="13.8">
      <c r="A131" s="1110"/>
      <c r="B131" s="1110"/>
      <c r="C131" s="685"/>
      <c r="D131" s="686"/>
      <c r="E131" s="686"/>
      <c r="F131" s="686"/>
      <c r="G131" s="686"/>
      <c r="H131" s="686"/>
      <c r="I131" s="686"/>
      <c r="J131" s="686"/>
      <c r="K131" s="687"/>
      <c r="L131" s="687"/>
      <c r="M131" s="688"/>
      <c r="N131" s="687"/>
      <c r="O131" s="680"/>
      <c r="P131" s="681"/>
      <c r="Q131" s="681"/>
      <c r="R131" s="681"/>
      <c r="S131" s="681"/>
      <c r="T131" s="681"/>
      <c r="U131" s="682"/>
      <c r="V131" s="683"/>
      <c r="W131" s="683"/>
      <c r="X131" s="683"/>
      <c r="Y131" s="683"/>
    </row>
    <row r="132" spans="1:25" s="684" customFormat="1" ht="13.8">
      <c r="A132" s="391"/>
      <c r="B132" s="689"/>
      <c r="C132" s="690">
        <f>SUM(C108:C130)</f>
        <v>483372946.72000003</v>
      </c>
      <c r="D132" s="690">
        <f>SUM(D108:D130)</f>
        <v>421480638.17999995</v>
      </c>
      <c r="E132" s="690">
        <f>SUM(E108:E130)</f>
        <v>431003337.30000001</v>
      </c>
      <c r="F132" s="690">
        <f t="shared" ref="F132:N132" si="82">SUM(F108:F130)</f>
        <v>411592186.26999998</v>
      </c>
      <c r="G132" s="690">
        <f t="shared" si="82"/>
        <v>553191536.24000001</v>
      </c>
      <c r="H132" s="690">
        <f t="shared" si="82"/>
        <v>710825123.31999993</v>
      </c>
      <c r="I132" s="690">
        <f t="shared" si="82"/>
        <v>888701354.92000008</v>
      </c>
      <c r="J132" s="690">
        <f t="shared" si="82"/>
        <v>1628500166.7099998</v>
      </c>
      <c r="K132" s="690">
        <f t="shared" si="82"/>
        <v>1181081086.9300005</v>
      </c>
      <c r="L132" s="690">
        <f t="shared" si="82"/>
        <v>990607061.04999995</v>
      </c>
      <c r="M132" s="691">
        <f t="shared" si="82"/>
        <v>825176101.9599998</v>
      </c>
      <c r="N132" s="690">
        <f t="shared" si="82"/>
        <v>777455348.86000001</v>
      </c>
      <c r="O132" s="680">
        <f t="shared" si="80"/>
        <v>6709748376.5900002</v>
      </c>
      <c r="P132" s="681"/>
      <c r="Q132" s="681"/>
      <c r="R132" s="681"/>
      <c r="S132" s="681"/>
      <c r="T132" s="681"/>
      <c r="U132" s="682"/>
      <c r="V132" s="683"/>
      <c r="W132" s="683"/>
      <c r="X132" s="683"/>
      <c r="Y132" s="683"/>
    </row>
    <row r="133" spans="1:25" s="390" customFormat="1" ht="10.199999999999999">
      <c r="A133" s="391"/>
      <c r="B133" s="689"/>
      <c r="C133" s="690">
        <f>+C132-483372946.72</f>
        <v>0</v>
      </c>
      <c r="D133" s="690">
        <f>+D132-421480638.18</f>
        <v>0</v>
      </c>
      <c r="E133" s="690">
        <f>431003337.3-E132</f>
        <v>0</v>
      </c>
      <c r="F133" s="690">
        <f>+F132-411592186.27</f>
        <v>0</v>
      </c>
      <c r="G133" s="690">
        <f>+G132-553191536.24</f>
        <v>0</v>
      </c>
      <c r="H133" s="690">
        <f>+H132-710825123.32</f>
        <v>0</v>
      </c>
      <c r="I133" s="690">
        <f>+I132-888701354.92</f>
        <v>0</v>
      </c>
      <c r="J133" s="690">
        <f>+J132-1628500166.71</f>
        <v>0</v>
      </c>
      <c r="K133" s="690">
        <f>+K132-1181081086.93</f>
        <v>0</v>
      </c>
      <c r="L133" s="690">
        <f>+L132-990607061.05</f>
        <v>0</v>
      </c>
      <c r="M133" s="691">
        <f>+M132-825176101.96</f>
        <v>0</v>
      </c>
      <c r="N133" s="690">
        <f>+N132-777455348.86</f>
        <v>0</v>
      </c>
      <c r="O133" s="690"/>
      <c r="P133" s="690"/>
      <c r="Q133" s="690"/>
      <c r="R133" s="690"/>
      <c r="S133" s="690"/>
      <c r="T133" s="690"/>
      <c r="U133" s="692"/>
      <c r="V133" s="595"/>
      <c r="W133" s="595"/>
      <c r="X133" s="595"/>
      <c r="Y133" s="595"/>
    </row>
    <row r="134" spans="1:25" s="390" customFormat="1" ht="10.199999999999999">
      <c r="A134" s="391"/>
      <c r="B134" s="689"/>
      <c r="C134" s="690"/>
      <c r="D134" s="690"/>
      <c r="E134" s="690"/>
      <c r="F134" s="690"/>
      <c r="G134" s="690"/>
      <c r="H134" s="690"/>
      <c r="I134" s="690"/>
      <c r="J134" s="690"/>
      <c r="K134" s="690"/>
      <c r="L134" s="690"/>
      <c r="M134" s="691"/>
      <c r="N134" s="690"/>
      <c r="O134" s="690"/>
      <c r="P134" s="690"/>
      <c r="Q134" s="690"/>
      <c r="R134" s="690"/>
      <c r="S134" s="690"/>
      <c r="T134" s="690"/>
      <c r="U134" s="692"/>
      <c r="V134" s="595"/>
      <c r="W134" s="595"/>
      <c r="X134" s="595"/>
      <c r="Y134" s="595"/>
    </row>
    <row r="135" spans="1:25" s="390" customFormat="1" ht="10.199999999999999">
      <c r="A135" s="1112" t="s">
        <v>763</v>
      </c>
      <c r="B135" s="1112"/>
      <c r="C135" s="693">
        <v>138919415.69999999</v>
      </c>
      <c r="D135" s="694">
        <v>157111321.13999999</v>
      </c>
      <c r="E135" s="694">
        <v>169682589.69999999</v>
      </c>
      <c r="F135" s="694">
        <v>168821082.52000001</v>
      </c>
      <c r="G135" s="694">
        <v>164394367.41</v>
      </c>
      <c r="H135" s="694">
        <v>172802264.83000001</v>
      </c>
      <c r="I135" s="694">
        <v>219770789.33000001</v>
      </c>
      <c r="J135" s="694">
        <v>154219048.34999999</v>
      </c>
      <c r="K135" s="694">
        <v>173793604.49000001</v>
      </c>
      <c r="L135" s="694">
        <v>168707889.43000001</v>
      </c>
      <c r="M135" s="695">
        <v>172860776.33000001</v>
      </c>
      <c r="N135" s="694">
        <v>197990484.59</v>
      </c>
      <c r="O135" s="680">
        <f t="shared" ref="O135:O142" si="83">SUM(C135:N135)</f>
        <v>2059073633.8199997</v>
      </c>
      <c r="P135" s="681"/>
      <c r="Q135" s="681"/>
      <c r="R135" s="681"/>
      <c r="S135" s="681"/>
      <c r="T135" s="681"/>
      <c r="U135" s="682"/>
      <c r="V135" s="595"/>
      <c r="W135" s="595"/>
      <c r="X135" s="595"/>
      <c r="Y135" s="595"/>
    </row>
    <row r="136" spans="1:25">
      <c r="A136" s="1112" t="s">
        <v>764</v>
      </c>
      <c r="B136" s="1112"/>
      <c r="C136" s="693">
        <v>16994160.719999999</v>
      </c>
      <c r="D136" s="694">
        <v>19159721.199999999</v>
      </c>
      <c r="E136" s="694">
        <v>20794337.5</v>
      </c>
      <c r="F136" s="694">
        <v>20978462.399999999</v>
      </c>
      <c r="G136" s="694">
        <v>19810255.359999999</v>
      </c>
      <c r="H136" s="694">
        <v>21243935.129999999</v>
      </c>
      <c r="I136" s="694">
        <v>26686156.309999999</v>
      </c>
      <c r="J136" s="694">
        <v>18786628.829999998</v>
      </c>
      <c r="K136" s="694">
        <v>21155642.23</v>
      </c>
      <c r="L136" s="694">
        <v>20594204.91</v>
      </c>
      <c r="M136" s="695">
        <v>21548672.280000001</v>
      </c>
      <c r="N136" s="694">
        <v>93226675.019999996</v>
      </c>
      <c r="O136" s="680">
        <f t="shared" si="83"/>
        <v>320978851.88999999</v>
      </c>
      <c r="P136" s="681"/>
      <c r="Q136" s="681"/>
      <c r="R136" s="681"/>
      <c r="S136" s="681"/>
      <c r="T136" s="681"/>
      <c r="U136" s="682"/>
    </row>
    <row r="137" spans="1:25">
      <c r="A137" s="1112" t="s">
        <v>765</v>
      </c>
      <c r="B137" s="1112"/>
      <c r="C137" s="693">
        <v>11831998.66</v>
      </c>
      <c r="D137" s="694">
        <v>8138451.8200000003</v>
      </c>
      <c r="E137" s="694">
        <v>5311500.45</v>
      </c>
      <c r="F137" s="694">
        <v>15807341.52</v>
      </c>
      <c r="G137" s="694">
        <v>29439804.949999999</v>
      </c>
      <c r="H137" s="694">
        <v>11247444.34</v>
      </c>
      <c r="I137" s="694">
        <v>5605423.5300000003</v>
      </c>
      <c r="J137" s="694">
        <v>29801721.420000002</v>
      </c>
      <c r="K137" s="694">
        <f>25621116.6+153.7</f>
        <v>25621270.300000001</v>
      </c>
      <c r="L137" s="694">
        <v>13549803.49</v>
      </c>
      <c r="M137" s="695">
        <v>25480904.489999998</v>
      </c>
      <c r="N137" s="694">
        <v>8903996.1999999993</v>
      </c>
      <c r="O137" s="680">
        <f t="shared" si="83"/>
        <v>190739661.17000002</v>
      </c>
      <c r="P137" s="681"/>
      <c r="Q137" s="681"/>
      <c r="R137" s="681"/>
      <c r="S137" s="681"/>
      <c r="T137" s="681"/>
      <c r="U137" s="682"/>
    </row>
    <row r="138" spans="1:25">
      <c r="A138" s="1112" t="s">
        <v>766</v>
      </c>
      <c r="B138" s="1112"/>
      <c r="C138" s="693">
        <v>51027501.68</v>
      </c>
      <c r="D138" s="694">
        <v>76065885.549999997</v>
      </c>
      <c r="E138" s="694">
        <v>46568288.109999999</v>
      </c>
      <c r="F138" s="694">
        <v>61065794.420000002</v>
      </c>
      <c r="G138" s="694">
        <v>70152232.819999993</v>
      </c>
      <c r="H138" s="694">
        <v>44446303.850000001</v>
      </c>
      <c r="I138" s="694">
        <v>26656139.870000001</v>
      </c>
      <c r="J138" s="694">
        <v>109199735.44</v>
      </c>
      <c r="K138" s="694">
        <v>81865321.549999997</v>
      </c>
      <c r="L138" s="694">
        <v>93065718.209999993</v>
      </c>
      <c r="M138" s="695">
        <v>72991157.5</v>
      </c>
      <c r="N138" s="694">
        <v>70362497.439999998</v>
      </c>
      <c r="O138" s="680">
        <f t="shared" si="83"/>
        <v>803466576.44000006</v>
      </c>
      <c r="P138" s="681"/>
      <c r="Q138" s="681"/>
      <c r="R138" s="681"/>
      <c r="S138" s="681"/>
      <c r="T138" s="681"/>
      <c r="U138" s="682"/>
    </row>
    <row r="139" spans="1:25">
      <c r="A139" s="1112" t="s">
        <v>767</v>
      </c>
      <c r="B139" s="1112"/>
      <c r="C139" s="693">
        <v>42730936.170000002</v>
      </c>
      <c r="D139" s="694">
        <v>36565380.509999998</v>
      </c>
      <c r="E139" s="694">
        <v>40046055.990000002</v>
      </c>
      <c r="F139" s="694">
        <v>47475027.390000001</v>
      </c>
      <c r="G139" s="694">
        <v>36647537.810000002</v>
      </c>
      <c r="H139" s="694">
        <v>35693156.030000001</v>
      </c>
      <c r="I139" s="694">
        <v>41726168.939999998</v>
      </c>
      <c r="J139" s="694">
        <v>44052484.780000001</v>
      </c>
      <c r="K139" s="694">
        <v>39169201.799999997</v>
      </c>
      <c r="L139" s="694">
        <v>42824293.93</v>
      </c>
      <c r="M139" s="695">
        <v>35111393.210000001</v>
      </c>
      <c r="N139" s="694">
        <v>47497596.659999996</v>
      </c>
      <c r="O139" s="680">
        <f t="shared" si="83"/>
        <v>489539233.22000003</v>
      </c>
      <c r="P139" s="681"/>
      <c r="Q139" s="681"/>
      <c r="R139" s="681"/>
      <c r="S139" s="681"/>
      <c r="T139" s="681"/>
      <c r="U139" s="682"/>
    </row>
    <row r="140" spans="1:25">
      <c r="A140" s="1112" t="s">
        <v>768</v>
      </c>
      <c r="B140" s="1112"/>
      <c r="C140" s="693">
        <v>2507098.33</v>
      </c>
      <c r="D140" s="694">
        <v>626159.65</v>
      </c>
      <c r="E140" s="694">
        <v>764582.77</v>
      </c>
      <c r="F140" s="694">
        <v>1510473.1</v>
      </c>
      <c r="G140" s="694">
        <v>717917.52</v>
      </c>
      <c r="H140" s="694">
        <v>553516.56999999995</v>
      </c>
      <c r="I140" s="694">
        <v>265837.77</v>
      </c>
      <c r="J140" s="694">
        <v>203483.36</v>
      </c>
      <c r="K140" s="694">
        <v>636188.38</v>
      </c>
      <c r="L140" s="694">
        <v>348915.22</v>
      </c>
      <c r="M140" s="695">
        <v>379208.21</v>
      </c>
      <c r="N140" s="694">
        <f>366449.72+597181.82</f>
        <v>963631.53999999992</v>
      </c>
      <c r="O140" s="680">
        <f t="shared" si="83"/>
        <v>9477012.4199999981</v>
      </c>
      <c r="P140" s="681"/>
      <c r="Q140" s="681"/>
      <c r="R140" s="681"/>
      <c r="S140" s="681"/>
      <c r="T140" s="681"/>
      <c r="U140" s="682"/>
    </row>
    <row r="141" spans="1:25">
      <c r="A141" s="1112" t="s">
        <v>769</v>
      </c>
      <c r="B141" s="1112"/>
      <c r="C141" s="693">
        <v>274999.98</v>
      </c>
      <c r="D141" s="694">
        <v>1756688.28</v>
      </c>
      <c r="E141" s="694">
        <v>6141934.7199999997</v>
      </c>
      <c r="F141" s="694">
        <v>4018921.6</v>
      </c>
      <c r="G141" s="694">
        <v>4297825.34</v>
      </c>
      <c r="H141" s="694">
        <v>59000</v>
      </c>
      <c r="I141" s="694">
        <v>1864117.64</v>
      </c>
      <c r="J141" s="694">
        <v>1785176.46</v>
      </c>
      <c r="K141" s="694">
        <v>1682509.33</v>
      </c>
      <c r="L141" s="694">
        <v>1707509.34</v>
      </c>
      <c r="M141" s="695">
        <v>1687054.78</v>
      </c>
      <c r="N141" s="694">
        <v>1767271.53</v>
      </c>
      <c r="O141" s="680">
        <f t="shared" si="83"/>
        <v>27043009.000000004</v>
      </c>
      <c r="P141" s="681"/>
      <c r="Q141" s="681"/>
      <c r="R141" s="681"/>
      <c r="S141" s="681"/>
      <c r="T141" s="681"/>
      <c r="U141" s="682"/>
    </row>
    <row r="142" spans="1:25">
      <c r="A142" s="1112" t="s">
        <v>770</v>
      </c>
      <c r="B142" s="1112"/>
      <c r="C142" s="693">
        <f>1781982.72+252000</f>
        <v>2033982.72</v>
      </c>
      <c r="D142" s="694">
        <v>1675044.58</v>
      </c>
      <c r="E142" s="694">
        <f>19077506.76+13500000/0.9</f>
        <v>34077506.760000005</v>
      </c>
      <c r="F142" s="694">
        <v>2542421.21</v>
      </c>
      <c r="G142" s="694">
        <v>2370082.23</v>
      </c>
      <c r="H142" s="694">
        <f>17653385.82-17015113.09</f>
        <v>638272.73000000045</v>
      </c>
      <c r="I142" s="694">
        <v>2440473.7799999998</v>
      </c>
      <c r="J142" s="694">
        <v>1926468.09</v>
      </c>
      <c r="K142" s="694">
        <v>3544732.13</v>
      </c>
      <c r="L142" s="694">
        <v>2144750.25</v>
      </c>
      <c r="M142" s="695">
        <v>2608761.77</v>
      </c>
      <c r="N142" s="694">
        <v>2865721.15</v>
      </c>
      <c r="O142" s="680">
        <f t="shared" si="83"/>
        <v>58868217.400000013</v>
      </c>
      <c r="P142" s="681"/>
      <c r="Q142" s="681"/>
      <c r="R142" s="681"/>
      <c r="S142" s="681"/>
      <c r="T142" s="681"/>
      <c r="U142" s="682"/>
    </row>
    <row r="143" spans="1:25">
      <c r="A143" s="1112" t="s">
        <v>409</v>
      </c>
      <c r="B143" s="1112"/>
      <c r="C143" s="693">
        <v>5101343.13</v>
      </c>
      <c r="D143" s="694">
        <v>6225519.5700000003</v>
      </c>
      <c r="E143" s="694">
        <v>9054621.8499999996</v>
      </c>
      <c r="F143" s="694">
        <v>7875724.6200000001</v>
      </c>
      <c r="G143" s="694">
        <v>7063697.0099999998</v>
      </c>
      <c r="H143" s="694">
        <v>5720004.1799999997</v>
      </c>
      <c r="I143" s="694">
        <v>8242934.8700000001</v>
      </c>
      <c r="J143" s="694">
        <v>9834007.0899999999</v>
      </c>
      <c r="K143" s="694">
        <v>6142817.3799999999</v>
      </c>
      <c r="L143" s="694">
        <v>7743641.0800000001</v>
      </c>
      <c r="M143" s="695">
        <v>9656801.8399999999</v>
      </c>
      <c r="N143" s="694">
        <v>6699328.8300000001</v>
      </c>
      <c r="O143" s="680">
        <f t="shared" ref="O143:O153" si="84">SUM(C143:N143)</f>
        <v>89360441.450000003</v>
      </c>
      <c r="P143" s="681"/>
      <c r="Q143" s="681"/>
      <c r="R143" s="681"/>
      <c r="S143" s="681"/>
      <c r="T143" s="681"/>
      <c r="U143" s="682"/>
    </row>
    <row r="144" spans="1:25">
      <c r="A144" s="1112" t="s">
        <v>771</v>
      </c>
      <c r="B144" s="1112"/>
      <c r="C144" s="693">
        <f>224325127.76-368263.46</f>
        <v>223956864.29999998</v>
      </c>
      <c r="D144" s="694">
        <v>316667677.63999999</v>
      </c>
      <c r="E144" s="694">
        <v>272604803.92000002</v>
      </c>
      <c r="F144" s="694">
        <v>481151641.13999999</v>
      </c>
      <c r="G144" s="694">
        <v>539180963.25</v>
      </c>
      <c r="H144" s="694">
        <v>687959365.14999998</v>
      </c>
      <c r="I144" s="694">
        <v>680756509.80999994</v>
      </c>
      <c r="J144" s="694">
        <v>595872944.76999998</v>
      </c>
      <c r="K144" s="694">
        <v>642786483.64999998</v>
      </c>
      <c r="L144" s="694">
        <v>541165258.38999999</v>
      </c>
      <c r="M144" s="695">
        <v>576825279.44000006</v>
      </c>
      <c r="N144" s="694">
        <v>580265984.22000003</v>
      </c>
      <c r="O144" s="680">
        <f t="shared" si="84"/>
        <v>6139193775.6800013</v>
      </c>
      <c r="P144" s="681"/>
      <c r="Q144" s="681"/>
      <c r="R144" s="681"/>
      <c r="S144" s="681"/>
      <c r="T144" s="681"/>
      <c r="U144" s="682"/>
    </row>
    <row r="145" spans="1:25">
      <c r="A145" s="410"/>
      <c r="B145" s="410" t="s">
        <v>1163</v>
      </c>
      <c r="C145" s="693"/>
      <c r="D145" s="694"/>
      <c r="E145" s="694"/>
      <c r="F145" s="694"/>
      <c r="G145" s="694">
        <v>12074200</v>
      </c>
      <c r="H145" s="694">
        <v>10552774.82</v>
      </c>
      <c r="I145" s="694">
        <v>58624885.299999997</v>
      </c>
      <c r="J145" s="694"/>
      <c r="K145" s="694">
        <v>229811990.19999999</v>
      </c>
      <c r="L145" s="694">
        <v>450000</v>
      </c>
      <c r="M145" s="695">
        <v>37378650</v>
      </c>
      <c r="N145" s="694">
        <v>8712620.0199999996</v>
      </c>
      <c r="O145" s="680">
        <f t="shared" si="84"/>
        <v>357605120.33999997</v>
      </c>
      <c r="P145" s="681"/>
      <c r="Q145" s="681"/>
      <c r="R145" s="681"/>
      <c r="S145" s="681"/>
      <c r="T145" s="681"/>
      <c r="U145" s="682"/>
    </row>
    <row r="146" spans="1:25">
      <c r="A146" s="1112" t="s">
        <v>69</v>
      </c>
      <c r="B146" s="1112"/>
      <c r="C146" s="693"/>
      <c r="D146" s="694"/>
      <c r="E146" s="694">
        <v>2287000</v>
      </c>
      <c r="F146" s="694"/>
      <c r="G146" s="694"/>
      <c r="H146" s="694">
        <v>1626100</v>
      </c>
      <c r="I146" s="694"/>
      <c r="J146" s="694"/>
      <c r="K146" s="694"/>
      <c r="L146" s="694"/>
      <c r="M146" s="695"/>
      <c r="N146" s="694">
        <v>1625000</v>
      </c>
      <c r="O146" s="680">
        <f t="shared" si="84"/>
        <v>5538100</v>
      </c>
      <c r="P146" s="681"/>
      <c r="Q146" s="681"/>
      <c r="R146" s="681"/>
      <c r="S146" s="681"/>
      <c r="T146" s="681"/>
      <c r="U146" s="682"/>
    </row>
    <row r="147" spans="1:25">
      <c r="A147" s="1112" t="s">
        <v>412</v>
      </c>
      <c r="B147" s="1112"/>
      <c r="C147" s="693">
        <v>60007158.799999997</v>
      </c>
      <c r="D147" s="694">
        <v>65665674.909999996</v>
      </c>
      <c r="E147" s="694">
        <v>61659530.869999997</v>
      </c>
      <c r="F147" s="694">
        <f>131692799.95-72451342.46</f>
        <v>59241457.49000001</v>
      </c>
      <c r="G147" s="694">
        <v>76136443.549999997</v>
      </c>
      <c r="H147" s="694">
        <v>100353844.3</v>
      </c>
      <c r="I147" s="694">
        <v>131098820.52</v>
      </c>
      <c r="J147" s="694">
        <v>214895390.49000001</v>
      </c>
      <c r="K147" s="695">
        <v>167411291.40000001</v>
      </c>
      <c r="L147" s="695">
        <v>150746029.63999999</v>
      </c>
      <c r="M147" s="695">
        <v>123263288.40000001</v>
      </c>
      <c r="N147" s="694">
        <f>127127435.58+515802</f>
        <v>127643237.58</v>
      </c>
      <c r="O147" s="680">
        <f t="shared" si="84"/>
        <v>1338122167.95</v>
      </c>
      <c r="P147" s="681"/>
      <c r="Q147" s="681"/>
      <c r="R147" s="681"/>
      <c r="S147" s="681"/>
      <c r="T147" s="681"/>
      <c r="U147" s="682"/>
    </row>
    <row r="148" spans="1:25">
      <c r="A148" s="410"/>
      <c r="B148" s="410" t="s">
        <v>1164</v>
      </c>
      <c r="C148" s="693">
        <v>1091028.46</v>
      </c>
      <c r="D148" s="694">
        <v>1055471.82</v>
      </c>
      <c r="E148" s="694">
        <v>894049.99</v>
      </c>
      <c r="F148" s="694">
        <v>1940303.64</v>
      </c>
      <c r="G148" s="694">
        <v>1418730</v>
      </c>
      <c r="H148" s="694">
        <v>1894795.18</v>
      </c>
      <c r="I148" s="694">
        <v>2090435.17</v>
      </c>
      <c r="J148" s="694">
        <v>2494927.36</v>
      </c>
      <c r="K148" s="695">
        <v>1990041.17</v>
      </c>
      <c r="L148" s="695">
        <v>1948663.09</v>
      </c>
      <c r="M148" s="695">
        <v>1477604.35</v>
      </c>
      <c r="N148" s="694">
        <v>1484018.17</v>
      </c>
      <c r="O148" s="680">
        <f t="shared" si="84"/>
        <v>19780068.399999999</v>
      </c>
      <c r="P148" s="681"/>
      <c r="Q148" s="681"/>
      <c r="R148" s="681"/>
      <c r="S148" s="681"/>
      <c r="T148" s="681"/>
      <c r="U148" s="682"/>
    </row>
    <row r="149" spans="1:25">
      <c r="A149" s="410"/>
      <c r="B149" s="410" t="s">
        <v>1165</v>
      </c>
      <c r="C149" s="693">
        <v>256100</v>
      </c>
      <c r="D149" s="694">
        <v>491100</v>
      </c>
      <c r="E149" s="694">
        <v>704046</v>
      </c>
      <c r="F149" s="694">
        <v>1694959.11</v>
      </c>
      <c r="G149" s="694">
        <v>1015100</v>
      </c>
      <c r="H149" s="694">
        <v>498600</v>
      </c>
      <c r="I149" s="694">
        <v>642600</v>
      </c>
      <c r="J149" s="694"/>
      <c r="K149" s="695">
        <v>255900</v>
      </c>
      <c r="L149" s="695">
        <v>420000</v>
      </c>
      <c r="M149" s="695">
        <v>90000</v>
      </c>
      <c r="N149" s="694">
        <v>592499.68000000005</v>
      </c>
      <c r="O149" s="680">
        <f t="shared" si="84"/>
        <v>6660904.79</v>
      </c>
      <c r="P149" s="681"/>
      <c r="Q149" s="681"/>
      <c r="R149" s="681"/>
      <c r="S149" s="681"/>
      <c r="T149" s="681"/>
      <c r="U149" s="682"/>
    </row>
    <row r="150" spans="1:25" s="702" customFormat="1">
      <c r="A150" s="1111" t="s">
        <v>399</v>
      </c>
      <c r="B150" s="1111"/>
      <c r="C150" s="696">
        <v>821500</v>
      </c>
      <c r="D150" s="697">
        <v>626444.43999999994</v>
      </c>
      <c r="E150" s="697">
        <v>38119</v>
      </c>
      <c r="F150" s="697">
        <v>3091358.02</v>
      </c>
      <c r="G150" s="697">
        <v>970000</v>
      </c>
      <c r="H150" s="697">
        <v>3045382.48</v>
      </c>
      <c r="I150" s="697">
        <v>1010000</v>
      </c>
      <c r="J150" s="698">
        <v>7092909.0899999999</v>
      </c>
      <c r="K150" s="699">
        <v>4208545.45</v>
      </c>
      <c r="L150" s="699">
        <v>2810000</v>
      </c>
      <c r="M150" s="700">
        <v>17628968.719999999</v>
      </c>
      <c r="N150" s="697">
        <v>8200951.8200000003</v>
      </c>
      <c r="O150" s="680">
        <f t="shared" si="84"/>
        <v>49544179.020000003</v>
      </c>
      <c r="P150" s="681"/>
      <c r="Q150" s="681"/>
      <c r="R150" s="681"/>
      <c r="S150" s="681"/>
      <c r="T150" s="681"/>
      <c r="U150" s="682"/>
      <c r="V150" s="701"/>
      <c r="W150" s="701"/>
      <c r="X150" s="701"/>
      <c r="Y150" s="701"/>
    </row>
    <row r="151" spans="1:25">
      <c r="A151" s="1112" t="s">
        <v>772</v>
      </c>
      <c r="B151" s="1112"/>
      <c r="C151" s="693"/>
      <c r="D151" s="694"/>
      <c r="E151" s="694">
        <v>633900</v>
      </c>
      <c r="F151" s="694"/>
      <c r="G151" s="694"/>
      <c r="H151" s="694"/>
      <c r="I151" s="694"/>
      <c r="J151" s="694"/>
      <c r="K151" s="694">
        <v>1037000</v>
      </c>
      <c r="L151" s="694"/>
      <c r="M151" s="695"/>
      <c r="N151" s="694"/>
      <c r="O151" s="680">
        <f t="shared" si="84"/>
        <v>1670900</v>
      </c>
      <c r="P151" s="681"/>
      <c r="Q151" s="681"/>
      <c r="R151" s="681"/>
      <c r="S151" s="681"/>
      <c r="T151" s="681"/>
      <c r="U151" s="682"/>
    </row>
    <row r="152" spans="1:25">
      <c r="A152" s="694" t="s">
        <v>773</v>
      </c>
      <c r="B152" s="410" t="s">
        <v>773</v>
      </c>
      <c r="C152" s="693">
        <v>263909.09000000003</v>
      </c>
      <c r="D152" s="694">
        <v>456100</v>
      </c>
      <c r="E152" s="694">
        <v>13621077.369999999</v>
      </c>
      <c r="F152" s="694">
        <v>2366290.64</v>
      </c>
      <c r="G152" s="694">
        <v>58800</v>
      </c>
      <c r="H152" s="694"/>
      <c r="I152" s="694">
        <v>5000</v>
      </c>
      <c r="J152" s="694">
        <v>16363.64</v>
      </c>
      <c r="K152" s="694"/>
      <c r="L152" s="694"/>
      <c r="M152" s="695"/>
      <c r="N152" s="694"/>
      <c r="O152" s="680">
        <f t="shared" si="84"/>
        <v>16787540.739999998</v>
      </c>
      <c r="P152" s="681"/>
      <c r="Q152" s="681"/>
      <c r="R152" s="681"/>
      <c r="S152" s="681"/>
      <c r="T152" s="681"/>
      <c r="U152" s="682"/>
    </row>
    <row r="153" spans="1:25">
      <c r="A153" s="694"/>
      <c r="B153" s="410" t="s">
        <v>1166</v>
      </c>
      <c r="C153" s="693">
        <v>3600000</v>
      </c>
      <c r="D153" s="694">
        <v>3600000</v>
      </c>
      <c r="E153" s="694">
        <v>3600000</v>
      </c>
      <c r="F153" s="694"/>
      <c r="G153" s="694">
        <v>3600000</v>
      </c>
      <c r="H153" s="694">
        <v>3600000</v>
      </c>
      <c r="I153" s="694">
        <v>3600000</v>
      </c>
      <c r="J153" s="694">
        <v>3600000</v>
      </c>
      <c r="K153" s="694">
        <v>3600000</v>
      </c>
      <c r="L153" s="694">
        <v>3600000</v>
      </c>
      <c r="M153" s="695">
        <v>3600000</v>
      </c>
      <c r="N153" s="694">
        <v>10000000</v>
      </c>
      <c r="O153" s="680">
        <f t="shared" si="84"/>
        <v>46000000</v>
      </c>
      <c r="P153" s="681"/>
      <c r="Q153" s="681"/>
      <c r="R153" s="681"/>
      <c r="S153" s="681"/>
      <c r="T153" s="681"/>
      <c r="U153" s="682"/>
    </row>
    <row r="154" spans="1:25">
      <c r="A154" s="694"/>
      <c r="B154" s="410" t="s">
        <v>687</v>
      </c>
      <c r="C154" s="693">
        <v>15400</v>
      </c>
      <c r="D154" s="694">
        <v>436363.64</v>
      </c>
      <c r="E154" s="694">
        <v>75454.55</v>
      </c>
      <c r="F154" s="694">
        <v>341436.37</v>
      </c>
      <c r="G154" s="694">
        <v>12703257.640000001</v>
      </c>
      <c r="H154" s="694">
        <v>0</v>
      </c>
      <c r="I154" s="694">
        <v>3468801.46</v>
      </c>
      <c r="J154" s="694">
        <v>1375500</v>
      </c>
      <c r="K154" s="694">
        <v>330000</v>
      </c>
      <c r="L154" s="694">
        <v>56545.45</v>
      </c>
      <c r="M154" s="695">
        <v>190000</v>
      </c>
      <c r="N154" s="694">
        <v>672727.27</v>
      </c>
      <c r="O154" s="680">
        <f>SUM(C154:N154)</f>
        <v>19665486.379999999</v>
      </c>
      <c r="P154" s="681"/>
      <c r="Q154" s="681"/>
      <c r="R154" s="681"/>
      <c r="S154" s="681"/>
      <c r="T154" s="681"/>
      <c r="U154" s="682"/>
    </row>
    <row r="155" spans="1:25">
      <c r="A155" s="1112" t="s">
        <v>774</v>
      </c>
      <c r="B155" s="1112"/>
      <c r="C155" s="693"/>
      <c r="D155" s="694"/>
      <c r="E155" s="703"/>
      <c r="F155" s="694"/>
      <c r="G155" s="694"/>
      <c r="H155" s="694"/>
      <c r="I155" s="694"/>
      <c r="J155" s="694"/>
      <c r="K155" s="694">
        <v>100000</v>
      </c>
      <c r="L155" s="694"/>
      <c r="M155" s="695"/>
      <c r="N155" s="694">
        <v>12432000</v>
      </c>
      <c r="O155" s="680">
        <f t="shared" ref="O155:O167" si="85">SUM(C155:K155)</f>
        <v>100000</v>
      </c>
      <c r="P155" s="681"/>
      <c r="Q155" s="681"/>
      <c r="R155" s="681"/>
      <c r="S155" s="681"/>
      <c r="T155" s="681"/>
      <c r="U155" s="682"/>
    </row>
    <row r="156" spans="1:25">
      <c r="A156" s="1112" t="s">
        <v>775</v>
      </c>
      <c r="B156" s="1112"/>
      <c r="C156" s="693">
        <v>16630787.35</v>
      </c>
      <c r="D156" s="694">
        <v>12654118.939999999</v>
      </c>
      <c r="E156" s="694">
        <v>39262682.43</v>
      </c>
      <c r="F156" s="694">
        <v>11600481.609999999</v>
      </c>
      <c r="G156" s="694">
        <v>26407228.719999999</v>
      </c>
      <c r="H156" s="694">
        <v>22320077.199999999</v>
      </c>
      <c r="I156" s="694">
        <v>7057161.2999999998</v>
      </c>
      <c r="J156" s="694">
        <v>20599360.210000001</v>
      </c>
      <c r="K156" s="694">
        <v>25481244.84</v>
      </c>
      <c r="L156" s="694">
        <v>21365428.059999999</v>
      </c>
      <c r="M156" s="695">
        <v>17824020.09</v>
      </c>
      <c r="N156" s="694">
        <v>34038697.07</v>
      </c>
      <c r="O156" s="680">
        <f>SUM(C156:N156)</f>
        <v>255241287.82000002</v>
      </c>
      <c r="P156" s="681"/>
      <c r="Q156" s="681"/>
      <c r="R156" s="681"/>
      <c r="S156" s="681"/>
      <c r="T156" s="681"/>
      <c r="U156" s="682"/>
    </row>
    <row r="157" spans="1:25">
      <c r="A157" s="1112" t="s">
        <v>776</v>
      </c>
      <c r="B157" s="1112"/>
      <c r="C157" s="693">
        <v>6638943.6699999999</v>
      </c>
      <c r="D157" s="694">
        <v>7215980.4199999999</v>
      </c>
      <c r="E157" s="694">
        <v>8819218.1199999992</v>
      </c>
      <c r="F157" s="694">
        <v>8626233.7100000009</v>
      </c>
      <c r="G157" s="694">
        <v>34949168.619999997</v>
      </c>
      <c r="H157" s="694">
        <v>9172728.1500000004</v>
      </c>
      <c r="I157" s="694">
        <v>3774563.34</v>
      </c>
      <c r="J157" s="694">
        <v>12003430.09</v>
      </c>
      <c r="K157" s="694">
        <v>7718138.6200000001</v>
      </c>
      <c r="L157" s="694">
        <v>5081569.4000000004</v>
      </c>
      <c r="M157" s="695">
        <v>6609605.3099999996</v>
      </c>
      <c r="N157" s="694">
        <v>6836128.8399999999</v>
      </c>
      <c r="O157" s="680">
        <f>SUM(C157:N157)</f>
        <v>117445708.29000002</v>
      </c>
      <c r="P157" s="681"/>
      <c r="Q157" s="681"/>
      <c r="R157" s="681"/>
      <c r="S157" s="681"/>
      <c r="T157" s="681"/>
      <c r="U157" s="682"/>
    </row>
    <row r="158" spans="1:25">
      <c r="A158" s="1112" t="s">
        <v>396</v>
      </c>
      <c r="B158" s="1112"/>
      <c r="C158" s="693">
        <v>4727705.51</v>
      </c>
      <c r="D158" s="694">
        <v>5504046.79</v>
      </c>
      <c r="E158" s="694">
        <v>3584052.03</v>
      </c>
      <c r="F158" s="694">
        <v>2210889.7200000002</v>
      </c>
      <c r="G158" s="694">
        <v>5275331.5599999996</v>
      </c>
      <c r="H158" s="694">
        <v>5602612.2199999997</v>
      </c>
      <c r="I158" s="694">
        <v>5492519.2300000004</v>
      </c>
      <c r="J158" s="694">
        <v>3638922.18</v>
      </c>
      <c r="K158" s="694">
        <v>5341786.54</v>
      </c>
      <c r="L158" s="694">
        <v>8340811.3799999999</v>
      </c>
      <c r="M158" s="695">
        <v>10016350.939999999</v>
      </c>
      <c r="N158" s="694">
        <v>6271977.1500000004</v>
      </c>
      <c r="O158" s="680">
        <f>SUM(C158:N158)</f>
        <v>66007005.25</v>
      </c>
      <c r="P158" s="681"/>
      <c r="Q158" s="681"/>
      <c r="R158" s="681"/>
      <c r="S158" s="681"/>
      <c r="T158" s="681"/>
      <c r="U158" s="682"/>
    </row>
    <row r="159" spans="1:25">
      <c r="A159" s="1112" t="s">
        <v>401</v>
      </c>
      <c r="B159" s="1112"/>
      <c r="C159" s="693">
        <v>3715830</v>
      </c>
      <c r="D159" s="694">
        <v>466200</v>
      </c>
      <c r="E159" s="694">
        <v>824900</v>
      </c>
      <c r="F159" s="694">
        <v>46588777.759999998</v>
      </c>
      <c r="G159" s="694">
        <v>15493151</v>
      </c>
      <c r="H159" s="694">
        <v>34835723.93</v>
      </c>
      <c r="I159" s="694">
        <v>43272795.200000003</v>
      </c>
      <c r="J159" s="694"/>
      <c r="K159" s="694">
        <v>122732578.47</v>
      </c>
      <c r="L159" s="694"/>
      <c r="M159" s="695">
        <v>16660919.48</v>
      </c>
      <c r="N159" s="694">
        <v>29987021.789999999</v>
      </c>
      <c r="O159" s="680">
        <f t="shared" si="85"/>
        <v>267929956.35999998</v>
      </c>
      <c r="P159" s="681"/>
      <c r="Q159" s="681"/>
      <c r="R159" s="681"/>
      <c r="S159" s="681"/>
      <c r="T159" s="681"/>
      <c r="U159" s="682"/>
    </row>
    <row r="160" spans="1:25">
      <c r="A160" s="1112" t="s">
        <v>777</v>
      </c>
      <c r="B160" s="1112"/>
      <c r="C160" s="693"/>
      <c r="D160" s="694">
        <v>787883.48</v>
      </c>
      <c r="E160" s="694">
        <v>1032820.68</v>
      </c>
      <c r="F160" s="694">
        <v>642362.46</v>
      </c>
      <c r="G160" s="694">
        <v>1039930</v>
      </c>
      <c r="H160" s="694">
        <v>727575</v>
      </c>
      <c r="I160" s="694">
        <v>351036</v>
      </c>
      <c r="J160" s="694">
        <v>182904</v>
      </c>
      <c r="K160" s="694">
        <v>243792.76</v>
      </c>
      <c r="L160" s="694">
        <v>302580.59999999998</v>
      </c>
      <c r="M160" s="695">
        <v>653358</v>
      </c>
      <c r="N160" s="694">
        <v>801519</v>
      </c>
      <c r="O160" s="680">
        <f>SUM(C160:N160)</f>
        <v>6765761.9799999995</v>
      </c>
      <c r="P160" s="681"/>
      <c r="Q160" s="681"/>
      <c r="R160" s="681"/>
      <c r="S160" s="681"/>
      <c r="T160" s="681"/>
      <c r="U160" s="682"/>
    </row>
    <row r="161" spans="1:21">
      <c r="A161" s="1112" t="s">
        <v>778</v>
      </c>
      <c r="B161" s="1112"/>
      <c r="C161" s="693"/>
      <c r="D161" s="694"/>
      <c r="E161" s="694">
        <v>3083642</v>
      </c>
      <c r="F161" s="694">
        <v>1257363</v>
      </c>
      <c r="G161" s="694">
        <v>816555.82</v>
      </c>
      <c r="H161" s="694">
        <v>97728.18</v>
      </c>
      <c r="I161" s="694"/>
      <c r="J161" s="694"/>
      <c r="K161" s="694"/>
      <c r="L161" s="694">
        <v>293698.21000000002</v>
      </c>
      <c r="M161" s="695">
        <v>514937</v>
      </c>
      <c r="N161" s="694">
        <v>1446947</v>
      </c>
      <c r="O161" s="680">
        <f t="shared" si="85"/>
        <v>5255289</v>
      </c>
      <c r="P161" s="681"/>
      <c r="Q161" s="681"/>
      <c r="R161" s="681"/>
      <c r="S161" s="681"/>
      <c r="T161" s="681"/>
      <c r="U161" s="682"/>
    </row>
    <row r="162" spans="1:21">
      <c r="A162" s="1112" t="s">
        <v>779</v>
      </c>
      <c r="B162" s="1112"/>
      <c r="C162" s="693">
        <v>1313091.81</v>
      </c>
      <c r="D162" s="694">
        <v>11328248.380000001</v>
      </c>
      <c r="E162" s="694">
        <v>8932739.7100000009</v>
      </c>
      <c r="F162" s="694">
        <v>8080628.7699999996</v>
      </c>
      <c r="G162" s="694">
        <v>24167614.739999998</v>
      </c>
      <c r="H162" s="694">
        <v>25399799.190000001</v>
      </c>
      <c r="I162" s="694">
        <v>6979712.5899999999</v>
      </c>
      <c r="J162" s="694">
        <v>15717623.73</v>
      </c>
      <c r="K162" s="694">
        <v>8401484.4800000004</v>
      </c>
      <c r="L162" s="694">
        <v>12441570.210000001</v>
      </c>
      <c r="M162" s="695">
        <v>8112594.71</v>
      </c>
      <c r="N162" s="694">
        <v>20921159.300000001</v>
      </c>
      <c r="O162" s="680">
        <f>SUM(C162:N162)</f>
        <v>151796267.62</v>
      </c>
      <c r="P162" s="681"/>
      <c r="Q162" s="681"/>
      <c r="R162" s="681"/>
      <c r="S162" s="681"/>
      <c r="T162" s="681"/>
      <c r="U162" s="682"/>
    </row>
    <row r="163" spans="1:21">
      <c r="A163" s="1112" t="s">
        <v>406</v>
      </c>
      <c r="B163" s="1112"/>
      <c r="C163" s="693">
        <v>18409090.899999999</v>
      </c>
      <c r="D163" s="693">
        <v>21900000</v>
      </c>
      <c r="E163" s="694">
        <v>21860000</v>
      </c>
      <c r="F163" s="694">
        <v>21880000</v>
      </c>
      <c r="G163" s="694">
        <v>21900000</v>
      </c>
      <c r="H163" s="694">
        <v>21900000</v>
      </c>
      <c r="I163" s="694">
        <v>21900000</v>
      </c>
      <c r="J163" s="694">
        <v>22350000</v>
      </c>
      <c r="K163" s="694">
        <v>21900000</v>
      </c>
      <c r="L163" s="694">
        <v>22525000</v>
      </c>
      <c r="M163" s="695">
        <v>21900000</v>
      </c>
      <c r="N163" s="694">
        <v>21422499</v>
      </c>
      <c r="O163" s="680">
        <f>SUM(C163:N163)</f>
        <v>259846589.90000001</v>
      </c>
      <c r="P163" s="681"/>
      <c r="Q163" s="681"/>
      <c r="R163" s="681"/>
      <c r="S163" s="681"/>
      <c r="T163" s="681"/>
      <c r="U163" s="682"/>
    </row>
    <row r="164" spans="1:21">
      <c r="A164" s="1112" t="s">
        <v>780</v>
      </c>
      <c r="B164" s="1112"/>
      <c r="C164" s="693">
        <v>2620356</v>
      </c>
      <c r="D164" s="694">
        <v>126320</v>
      </c>
      <c r="E164" s="694"/>
      <c r="F164" s="694"/>
      <c r="G164" s="694"/>
      <c r="H164" s="694">
        <v>36900</v>
      </c>
      <c r="I164" s="694"/>
      <c r="J164" s="694"/>
      <c r="K164" s="694"/>
      <c r="L164" s="694"/>
      <c r="M164" s="695"/>
      <c r="N164" s="694"/>
      <c r="O164" s="680">
        <f t="shared" si="85"/>
        <v>2783576</v>
      </c>
      <c r="P164" s="681"/>
      <c r="Q164" s="681"/>
      <c r="R164" s="681"/>
      <c r="S164" s="681"/>
      <c r="T164" s="681"/>
      <c r="U164" s="682"/>
    </row>
    <row r="165" spans="1:21">
      <c r="A165" s="1112" t="s">
        <v>781</v>
      </c>
      <c r="B165" s="1112"/>
      <c r="C165" s="693">
        <v>316913.67</v>
      </c>
      <c r="D165" s="694">
        <v>528189.44999999995</v>
      </c>
      <c r="E165" s="694">
        <v>316913.67</v>
      </c>
      <c r="F165" s="694">
        <v>316643.67</v>
      </c>
      <c r="G165" s="694">
        <v>316913.67</v>
      </c>
      <c r="H165" s="694">
        <v>316913.67</v>
      </c>
      <c r="I165" s="694">
        <v>316913.67</v>
      </c>
      <c r="J165" s="694">
        <v>316913.67</v>
      </c>
      <c r="K165" s="694">
        <v>211275.78</v>
      </c>
      <c r="L165" s="694">
        <v>211275.78</v>
      </c>
      <c r="M165" s="695">
        <v>211275.78</v>
      </c>
      <c r="N165" s="694">
        <v>211275.78</v>
      </c>
      <c r="O165" s="680">
        <f>SUM(C165:N165)</f>
        <v>3591418.2599999988</v>
      </c>
      <c r="P165" s="681"/>
      <c r="Q165" s="681"/>
      <c r="R165" s="681"/>
      <c r="S165" s="681"/>
      <c r="T165" s="681"/>
      <c r="U165" s="682"/>
    </row>
    <row r="166" spans="1:21">
      <c r="A166" s="1112" t="s">
        <v>782</v>
      </c>
      <c r="B166" s="1112"/>
      <c r="C166" s="693">
        <v>444010.66</v>
      </c>
      <c r="D166" s="694">
        <v>787760.85</v>
      </c>
      <c r="E166" s="694">
        <v>444910.66</v>
      </c>
      <c r="F166" s="694">
        <v>444010.66</v>
      </c>
      <c r="G166" s="694">
        <v>444010.66</v>
      </c>
      <c r="H166" s="694">
        <v>444010.66</v>
      </c>
      <c r="I166" s="694">
        <v>444010.66</v>
      </c>
      <c r="J166" s="694">
        <v>444010.66</v>
      </c>
      <c r="K166" s="694">
        <v>315104.34000000003</v>
      </c>
      <c r="L166" s="694">
        <v>315104.34000000003</v>
      </c>
      <c r="M166" s="695">
        <v>315104.34000000003</v>
      </c>
      <c r="N166" s="694">
        <v>315104.34000000003</v>
      </c>
      <c r="O166" s="680">
        <f>SUM(C166:N166)</f>
        <v>5157152.83</v>
      </c>
      <c r="P166" s="681"/>
      <c r="Q166" s="681"/>
      <c r="R166" s="681"/>
      <c r="S166" s="681"/>
      <c r="T166" s="681"/>
      <c r="U166" s="682"/>
    </row>
    <row r="167" spans="1:21">
      <c r="A167" s="704"/>
      <c r="B167" s="705"/>
      <c r="C167" s="690">
        <f t="shared" ref="C167:N167" si="86">SUM(C135:C166)</f>
        <v>616250127.30999982</v>
      </c>
      <c r="D167" s="690">
        <f t="shared" si="86"/>
        <v>757621753.05999994</v>
      </c>
      <c r="E167" s="690">
        <f t="shared" si="86"/>
        <v>776721278.84999979</v>
      </c>
      <c r="F167" s="690">
        <f t="shared" si="86"/>
        <v>981570086.55000007</v>
      </c>
      <c r="G167" s="690">
        <f t="shared" si="86"/>
        <v>1112861119.6800001</v>
      </c>
      <c r="H167" s="690">
        <f t="shared" si="86"/>
        <v>1222788827.7900007</v>
      </c>
      <c r="I167" s="690">
        <f t="shared" si="86"/>
        <v>1304143806.29</v>
      </c>
      <c r="J167" s="690">
        <f t="shared" si="86"/>
        <v>1270409953.71</v>
      </c>
      <c r="K167" s="690">
        <f t="shared" si="86"/>
        <v>1597487945.29</v>
      </c>
      <c r="L167" s="690">
        <f t="shared" si="86"/>
        <v>1122760260.4100001</v>
      </c>
      <c r="M167" s="691">
        <f t="shared" si="86"/>
        <v>1185596686.9699998</v>
      </c>
      <c r="N167" s="690">
        <f t="shared" si="86"/>
        <v>1304158570.9899998</v>
      </c>
      <c r="O167" s="680">
        <f t="shared" si="85"/>
        <v>9639854898.5300007</v>
      </c>
      <c r="P167" s="681"/>
      <c r="Q167" s="681"/>
      <c r="R167" s="681"/>
      <c r="S167" s="681"/>
      <c r="T167" s="681"/>
      <c r="U167" s="682"/>
    </row>
    <row r="168" spans="1:21">
      <c r="A168" s="704"/>
      <c r="B168" s="705"/>
      <c r="C168" s="690">
        <f>+C167-616250127.31</f>
        <v>0</v>
      </c>
      <c r="D168" s="690">
        <f>+D167-757621753.06</f>
        <v>0</v>
      </c>
      <c r="E168" s="690">
        <f>+E167-776721278.85</f>
        <v>0</v>
      </c>
      <c r="F168" s="690">
        <f>+F167-981570086.55</f>
        <v>0</v>
      </c>
      <c r="G168" s="690">
        <f>+G167-1112861119.68</f>
        <v>0</v>
      </c>
      <c r="H168" s="690">
        <f>+H167-1222788827.79</f>
        <v>0</v>
      </c>
      <c r="I168" s="690">
        <f>+I167-1304143806.29</f>
        <v>0</v>
      </c>
      <c r="J168" s="690">
        <f>+J167-1270409953.71</f>
        <v>0</v>
      </c>
      <c r="K168" s="690">
        <f>+K167-1597487945.29</f>
        <v>0</v>
      </c>
      <c r="L168" s="690">
        <f>+L167-1122760260.41</f>
        <v>0</v>
      </c>
      <c r="M168" s="691">
        <f>+M167-1185596686.97</f>
        <v>0</v>
      </c>
      <c r="N168" s="690">
        <f>+N167-1304158570.99</f>
        <v>0</v>
      </c>
      <c r="O168" s="680">
        <f t="shared" ref="O168:O169" si="87">SUM(C168:F168)</f>
        <v>0</v>
      </c>
      <c r="P168" s="681"/>
      <c r="Q168" s="681"/>
      <c r="R168" s="681"/>
      <c r="S168" s="681"/>
      <c r="T168" s="681"/>
      <c r="U168" s="682"/>
    </row>
    <row r="169" spans="1:21">
      <c r="A169" s="704"/>
      <c r="B169" s="705"/>
      <c r="C169" s="690"/>
      <c r="D169" s="690"/>
      <c r="E169" s="690"/>
      <c r="F169" s="690"/>
      <c r="G169" s="690"/>
      <c r="H169" s="690"/>
      <c r="I169" s="690"/>
      <c r="J169" s="690"/>
      <c r="K169" s="690"/>
      <c r="L169" s="690"/>
      <c r="M169" s="691"/>
      <c r="N169" s="690"/>
      <c r="O169" s="680">
        <f t="shared" si="87"/>
        <v>0</v>
      </c>
      <c r="P169" s="681"/>
      <c r="Q169" s="681"/>
      <c r="R169" s="681"/>
      <c r="S169" s="681"/>
      <c r="T169" s="681"/>
      <c r="U169" s="682"/>
    </row>
    <row r="170" spans="1:21">
      <c r="A170" s="706"/>
      <c r="B170" s="707" t="s">
        <v>1167</v>
      </c>
      <c r="C170" s="708">
        <v>7667099.3200000003</v>
      </c>
      <c r="D170" s="709">
        <v>6917999.3200000003</v>
      </c>
      <c r="E170" s="709">
        <v>7667999.3200000003</v>
      </c>
      <c r="F170" s="709">
        <v>6917999.3200000003</v>
      </c>
      <c r="G170" s="709">
        <v>6917999.3200000003</v>
      </c>
      <c r="H170" s="709">
        <v>6917999.3200000003</v>
      </c>
      <c r="I170" s="709">
        <v>9657248.8900000006</v>
      </c>
      <c r="J170" s="709">
        <v>15536372.1</v>
      </c>
      <c r="K170" s="709">
        <v>34648266.780000001</v>
      </c>
      <c r="L170" s="709">
        <v>24955581.329999998</v>
      </c>
      <c r="M170" s="710">
        <v>23285716.59</v>
      </c>
      <c r="N170" s="709">
        <v>35170924.359999999</v>
      </c>
      <c r="O170" s="680">
        <f>SUM(C170:N170)</f>
        <v>186261205.96999997</v>
      </c>
      <c r="P170" s="681"/>
      <c r="Q170" s="681"/>
      <c r="R170" s="681"/>
      <c r="S170" s="681"/>
      <c r="T170" s="681"/>
      <c r="U170" s="682"/>
    </row>
    <row r="171" spans="1:21">
      <c r="A171" s="1113" t="s">
        <v>783</v>
      </c>
      <c r="B171" s="1113"/>
      <c r="C171" s="708">
        <v>4670382.72</v>
      </c>
      <c r="D171" s="709">
        <v>4653181.82</v>
      </c>
      <c r="E171" s="709">
        <v>4653181.82</v>
      </c>
      <c r="F171" s="709">
        <v>4653181.82</v>
      </c>
      <c r="G171" s="709">
        <v>4653181.82</v>
      </c>
      <c r="H171" s="709">
        <v>4653181.82</v>
      </c>
      <c r="I171" s="709">
        <v>4653181.82</v>
      </c>
      <c r="J171" s="709">
        <v>4653181.82</v>
      </c>
      <c r="K171" s="709">
        <v>6947727.2699999996</v>
      </c>
      <c r="L171" s="709">
        <v>13895454.550000001</v>
      </c>
      <c r="M171" s="710">
        <v>13895454.550000001</v>
      </c>
      <c r="N171" s="709">
        <v>13895454.550000001</v>
      </c>
      <c r="O171" s="680">
        <f t="shared" ref="O171:O176" si="88">SUM(C171:N171)</f>
        <v>85876746.379999995</v>
      </c>
      <c r="P171" s="681"/>
      <c r="Q171" s="681"/>
      <c r="R171" s="681"/>
      <c r="S171" s="681"/>
      <c r="T171" s="681"/>
      <c r="U171" s="682"/>
    </row>
    <row r="172" spans="1:21">
      <c r="A172" s="1113" t="s">
        <v>1168</v>
      </c>
      <c r="B172" s="1113"/>
      <c r="C172" s="708">
        <v>1600000</v>
      </c>
      <c r="D172" s="709">
        <v>1600000</v>
      </c>
      <c r="E172" s="709">
        <v>1600000</v>
      </c>
      <c r="F172" s="709">
        <v>1600000</v>
      </c>
      <c r="G172" s="709">
        <v>1600000</v>
      </c>
      <c r="H172" s="709">
        <v>2639000</v>
      </c>
      <c r="I172" s="709">
        <v>1719839</v>
      </c>
      <c r="J172" s="709">
        <v>1719839</v>
      </c>
      <c r="K172" s="709">
        <v>1695600</v>
      </c>
      <c r="L172" s="709">
        <v>1695600</v>
      </c>
      <c r="M172" s="710">
        <v>1695600</v>
      </c>
      <c r="N172" s="709">
        <v>1695600</v>
      </c>
      <c r="O172" s="680">
        <f t="shared" si="88"/>
        <v>20861078</v>
      </c>
      <c r="P172" s="681"/>
      <c r="Q172" s="681"/>
      <c r="R172" s="681"/>
      <c r="S172" s="681"/>
      <c r="T172" s="681"/>
      <c r="U172" s="682"/>
    </row>
    <row r="173" spans="1:21">
      <c r="A173" s="1113" t="s">
        <v>1169</v>
      </c>
      <c r="B173" s="1113"/>
      <c r="C173" s="708">
        <v>12900000</v>
      </c>
      <c r="D173" s="709">
        <v>12900000</v>
      </c>
      <c r="E173" s="709">
        <v>12900000</v>
      </c>
      <c r="F173" s="709">
        <v>12900000</v>
      </c>
      <c r="G173" s="709">
        <v>12900000</v>
      </c>
      <c r="H173" s="709">
        <v>12900000</v>
      </c>
      <c r="I173" s="709">
        <v>12900000</v>
      </c>
      <c r="J173" s="709">
        <v>12900000</v>
      </c>
      <c r="K173" s="709">
        <v>12900000</v>
      </c>
      <c r="L173" s="709">
        <v>11258415.369999999</v>
      </c>
      <c r="M173" s="710">
        <v>19539689.579999998</v>
      </c>
      <c r="N173" s="709">
        <v>11352000</v>
      </c>
      <c r="O173" s="680">
        <f t="shared" si="88"/>
        <v>158250104.94999999</v>
      </c>
      <c r="P173" s="681"/>
      <c r="Q173" s="681"/>
      <c r="R173" s="681"/>
      <c r="S173" s="681"/>
      <c r="T173" s="681"/>
      <c r="U173" s="682"/>
    </row>
    <row r="174" spans="1:21">
      <c r="A174" s="1113" t="s">
        <v>784</v>
      </c>
      <c r="B174" s="1113"/>
      <c r="C174" s="708">
        <v>1970820.82</v>
      </c>
      <c r="D174" s="709">
        <v>1970820.82</v>
      </c>
      <c r="E174" s="709">
        <v>1890622.22</v>
      </c>
      <c r="F174" s="709">
        <v>1932706.44</v>
      </c>
      <c r="G174" s="709">
        <v>1913649.55</v>
      </c>
      <c r="H174" s="709">
        <v>1894592.45</v>
      </c>
      <c r="I174" s="709">
        <v>1794542.94</v>
      </c>
      <c r="J174" s="709">
        <v>1937470.91</v>
      </c>
      <c r="K174" s="709">
        <v>1948605.73</v>
      </c>
      <c r="L174" s="709">
        <v>2029746.93</v>
      </c>
      <c r="M174" s="710">
        <v>1936510.1</v>
      </c>
      <c r="N174" s="709"/>
      <c r="O174" s="680">
        <f t="shared" si="88"/>
        <v>21220088.91</v>
      </c>
      <c r="P174" s="681"/>
      <c r="Q174" s="681"/>
      <c r="R174" s="681"/>
      <c r="S174" s="681"/>
      <c r="T174" s="681"/>
      <c r="U174" s="682"/>
    </row>
    <row r="175" spans="1:21">
      <c r="A175" s="1113" t="s">
        <v>785</v>
      </c>
      <c r="B175" s="1113"/>
      <c r="C175" s="708">
        <v>789095.45</v>
      </c>
      <c r="D175" s="709">
        <v>786536.36</v>
      </c>
      <c r="E175" s="709">
        <v>785853.64</v>
      </c>
      <c r="F175" s="709">
        <v>763545.45</v>
      </c>
      <c r="G175" s="709">
        <v>763545.45</v>
      </c>
      <c r="H175" s="709">
        <v>763545.45</v>
      </c>
      <c r="I175" s="709">
        <v>763545.46</v>
      </c>
      <c r="J175" s="709">
        <v>790871.82</v>
      </c>
      <c r="K175" s="709">
        <v>791418.18</v>
      </c>
      <c r="L175" s="709">
        <v>763545.45</v>
      </c>
      <c r="M175" s="710">
        <v>763545.45</v>
      </c>
      <c r="N175" s="709">
        <v>763545.45</v>
      </c>
      <c r="O175" s="680">
        <f t="shared" si="88"/>
        <v>9288593.6099999994</v>
      </c>
      <c r="P175" s="681"/>
      <c r="Q175" s="681"/>
      <c r="R175" s="681"/>
      <c r="S175" s="681"/>
      <c r="T175" s="681"/>
      <c r="U175" s="682"/>
    </row>
    <row r="176" spans="1:21">
      <c r="A176" s="1113" t="s">
        <v>786</v>
      </c>
      <c r="B176" s="1113"/>
      <c r="C176" s="708">
        <v>22727272.73</v>
      </c>
      <c r="D176" s="709">
        <v>22727272.73</v>
      </c>
      <c r="E176" s="709">
        <v>22727272.73</v>
      </c>
      <c r="F176" s="709">
        <v>22727272.73</v>
      </c>
      <c r="G176" s="709">
        <f>25000000/1.1</f>
        <v>22727272.727272727</v>
      </c>
      <c r="H176" s="709">
        <f>25000000/1.1</f>
        <v>22727272.727272727</v>
      </c>
      <c r="I176" s="709">
        <v>22727272.73</v>
      </c>
      <c r="J176" s="709">
        <v>22320000</v>
      </c>
      <c r="K176" s="709">
        <v>22727272.73</v>
      </c>
      <c r="L176" s="709">
        <v>22727272.73</v>
      </c>
      <c r="M176" s="710">
        <v>22727272.73</v>
      </c>
      <c r="N176" s="709">
        <v>22727272.73</v>
      </c>
      <c r="O176" s="680">
        <f t="shared" si="88"/>
        <v>272320000.02454543</v>
      </c>
      <c r="P176" s="681"/>
      <c r="Q176" s="681"/>
      <c r="R176" s="681"/>
      <c r="S176" s="681"/>
      <c r="T176" s="681"/>
      <c r="U176" s="682"/>
    </row>
    <row r="177" spans="1:25">
      <c r="A177" s="1113" t="s">
        <v>408</v>
      </c>
      <c r="B177" s="1113"/>
      <c r="C177" s="708">
        <v>136950</v>
      </c>
      <c r="D177" s="709">
        <v>281029</v>
      </c>
      <c r="E177" s="709">
        <v>159539.04</v>
      </c>
      <c r="F177" s="709">
        <v>73430.8</v>
      </c>
      <c r="G177" s="709">
        <v>440489.27</v>
      </c>
      <c r="H177" s="709">
        <v>290597</v>
      </c>
      <c r="I177" s="709">
        <v>276000</v>
      </c>
      <c r="J177" s="709">
        <v>615568</v>
      </c>
      <c r="K177" s="709">
        <v>834104</v>
      </c>
      <c r="L177" s="709">
        <v>685896.8</v>
      </c>
      <c r="M177" s="710">
        <v>458366</v>
      </c>
      <c r="N177" s="709">
        <v>97100</v>
      </c>
      <c r="O177" s="680">
        <f>SUM(C177:N177)</f>
        <v>4349069.91</v>
      </c>
      <c r="P177" s="681"/>
      <c r="Q177" s="681"/>
      <c r="R177" s="681"/>
      <c r="S177" s="681"/>
      <c r="T177" s="681"/>
      <c r="U177" s="682"/>
    </row>
    <row r="178" spans="1:25">
      <c r="A178" s="1113" t="s">
        <v>787</v>
      </c>
      <c r="B178" s="1113"/>
      <c r="C178" s="708"/>
      <c r="D178" s="709"/>
      <c r="E178" s="709"/>
      <c r="F178" s="709"/>
      <c r="G178" s="709"/>
      <c r="H178" s="709"/>
      <c r="I178" s="709"/>
      <c r="J178" s="709"/>
      <c r="K178" s="709"/>
      <c r="L178" s="709"/>
      <c r="M178" s="710"/>
      <c r="N178" s="709"/>
      <c r="O178" s="680">
        <f t="shared" ref="O178:O181" si="89">SUM(C178:K178)</f>
        <v>0</v>
      </c>
      <c r="P178" s="681"/>
      <c r="Q178" s="681"/>
      <c r="R178" s="681"/>
      <c r="S178" s="681"/>
      <c r="T178" s="681"/>
      <c r="U178" s="682"/>
    </row>
    <row r="179" spans="1:25">
      <c r="A179" s="1113" t="s">
        <v>788</v>
      </c>
      <c r="B179" s="1113"/>
      <c r="C179" s="708"/>
      <c r="D179" s="709"/>
      <c r="E179" s="709"/>
      <c r="F179" s="709"/>
      <c r="G179" s="709"/>
      <c r="H179" s="709"/>
      <c r="I179" s="709"/>
      <c r="J179" s="709"/>
      <c r="K179" s="709"/>
      <c r="L179" s="709"/>
      <c r="M179" s="710"/>
      <c r="N179" s="709"/>
      <c r="O179" s="680">
        <f t="shared" si="89"/>
        <v>0</v>
      </c>
      <c r="P179" s="681"/>
      <c r="Q179" s="681"/>
      <c r="R179" s="681"/>
      <c r="S179" s="681"/>
      <c r="T179" s="681"/>
      <c r="U179" s="682"/>
    </row>
    <row r="180" spans="1:25">
      <c r="A180" s="1113" t="s">
        <v>789</v>
      </c>
      <c r="B180" s="1113"/>
      <c r="C180" s="708"/>
      <c r="D180" s="709"/>
      <c r="E180" s="710">
        <v>50000</v>
      </c>
      <c r="F180" s="709"/>
      <c r="G180" s="709"/>
      <c r="H180" s="709"/>
      <c r="I180" s="709"/>
      <c r="J180" s="709"/>
      <c r="K180" s="709"/>
      <c r="L180" s="709"/>
      <c r="M180" s="710"/>
      <c r="N180" s="709"/>
      <c r="O180" s="680">
        <f t="shared" si="89"/>
        <v>50000</v>
      </c>
      <c r="P180" s="681"/>
      <c r="Q180" s="681"/>
      <c r="R180" s="681"/>
      <c r="S180" s="681"/>
      <c r="T180" s="681"/>
      <c r="U180" s="682"/>
    </row>
    <row r="181" spans="1:25">
      <c r="A181" s="1113" t="s">
        <v>790</v>
      </c>
      <c r="B181" s="1113"/>
      <c r="C181" s="708"/>
      <c r="D181" s="709"/>
      <c r="E181" s="710">
        <v>8407.91</v>
      </c>
      <c r="F181" s="709"/>
      <c r="G181" s="709"/>
      <c r="H181" s="709"/>
      <c r="I181" s="709"/>
      <c r="J181" s="709"/>
      <c r="K181" s="709"/>
      <c r="L181" s="709"/>
      <c r="M181" s="710"/>
      <c r="N181" s="709"/>
      <c r="O181" s="680">
        <f t="shared" si="89"/>
        <v>8407.91</v>
      </c>
      <c r="P181" s="681"/>
      <c r="Q181" s="681"/>
      <c r="R181" s="681"/>
      <c r="S181" s="681"/>
      <c r="T181" s="681"/>
      <c r="U181" s="682"/>
    </row>
    <row r="182" spans="1:25">
      <c r="A182" s="1113" t="s">
        <v>791</v>
      </c>
      <c r="B182" s="1113"/>
      <c r="C182" s="708">
        <v>57779193.950000003</v>
      </c>
      <c r="D182" s="709">
        <v>99819786.670000002</v>
      </c>
      <c r="E182" s="709">
        <v>80367617.469999999</v>
      </c>
      <c r="F182" s="709">
        <v>139018571.16999999</v>
      </c>
      <c r="G182" s="709">
        <v>88540411.150000006</v>
      </c>
      <c r="H182" s="709">
        <v>68006751.049999997</v>
      </c>
      <c r="I182" s="709">
        <v>70386411.040000007</v>
      </c>
      <c r="J182" s="709">
        <v>89334022.129999995</v>
      </c>
      <c r="K182" s="709">
        <v>85690178.040000007</v>
      </c>
      <c r="L182" s="709">
        <v>92306140.950000003</v>
      </c>
      <c r="M182" s="710">
        <v>90892630.629999995</v>
      </c>
      <c r="N182" s="709">
        <v>79708891</v>
      </c>
      <c r="O182" s="680">
        <f>SUM(C182:N182)</f>
        <v>1041850605.25</v>
      </c>
      <c r="P182" s="681"/>
      <c r="Q182" s="681"/>
      <c r="R182" s="681"/>
      <c r="S182" s="681"/>
      <c r="T182" s="681"/>
      <c r="U182" s="682"/>
    </row>
    <row r="183" spans="1:25">
      <c r="A183" s="1113" t="s">
        <v>792</v>
      </c>
      <c r="B183" s="1113"/>
      <c r="C183" s="708">
        <v>6351920.8200000003</v>
      </c>
      <c r="D183" s="709">
        <v>10019766.93</v>
      </c>
      <c r="E183" s="709">
        <v>3203897.49</v>
      </c>
      <c r="F183" s="709">
        <v>7305592.6600000001</v>
      </c>
      <c r="G183" s="709">
        <v>5482638.0099999998</v>
      </c>
      <c r="H183" s="709">
        <v>2085824.67</v>
      </c>
      <c r="I183" s="709">
        <v>3759098.52</v>
      </c>
      <c r="J183" s="709">
        <v>14720222.15</v>
      </c>
      <c r="K183" s="709">
        <v>21818774.199999999</v>
      </c>
      <c r="L183" s="709">
        <v>35348966.840000004</v>
      </c>
      <c r="M183" s="710">
        <v>20351936.440000001</v>
      </c>
      <c r="N183" s="709">
        <v>52908326.920000002</v>
      </c>
      <c r="O183" s="680">
        <f>SUM(C183:N183)</f>
        <v>183356965.65000001</v>
      </c>
      <c r="P183" s="681"/>
      <c r="Q183" s="681"/>
      <c r="R183" s="681"/>
      <c r="S183" s="681"/>
      <c r="T183" s="681"/>
      <c r="U183" s="682"/>
    </row>
    <row r="184" spans="1:25">
      <c r="B184" s="663"/>
      <c r="C184" s="664">
        <f>SUM(C170:C183)</f>
        <v>116592735.81</v>
      </c>
      <c r="D184" s="664">
        <f t="shared" ref="D184:O184" si="90">SUM(D170:D183)</f>
        <v>161676393.65000001</v>
      </c>
      <c r="E184" s="664">
        <f t="shared" si="90"/>
        <v>136014391.64000002</v>
      </c>
      <c r="F184" s="664">
        <f t="shared" si="90"/>
        <v>197892300.38999999</v>
      </c>
      <c r="G184" s="664">
        <f t="shared" si="90"/>
        <v>145939187.29727274</v>
      </c>
      <c r="H184" s="664">
        <f t="shared" si="90"/>
        <v>122878764.48727272</v>
      </c>
      <c r="I184" s="664">
        <f t="shared" si="90"/>
        <v>128637140.40000001</v>
      </c>
      <c r="J184" s="664">
        <f t="shared" si="90"/>
        <v>164527547.93000001</v>
      </c>
      <c r="K184" s="664">
        <f t="shared" si="90"/>
        <v>190001946.93000001</v>
      </c>
      <c r="L184" s="664">
        <f t="shared" si="90"/>
        <v>205666620.95000002</v>
      </c>
      <c r="M184" s="691">
        <f t="shared" si="90"/>
        <v>195546722.06999999</v>
      </c>
      <c r="N184" s="664">
        <f t="shared" si="90"/>
        <v>218319115.00999999</v>
      </c>
      <c r="O184" s="664">
        <f t="shared" si="90"/>
        <v>1983692866.5645454</v>
      </c>
      <c r="P184" s="664"/>
      <c r="Q184" s="664"/>
      <c r="R184" s="664"/>
      <c r="S184" s="664"/>
      <c r="T184" s="664"/>
    </row>
    <row r="185" spans="1:25" s="716" customFormat="1">
      <c r="A185" s="711"/>
      <c r="B185" s="712"/>
      <c r="C185" s="713">
        <f>+C167+C132+C184</f>
        <v>1216215809.8399997</v>
      </c>
      <c r="D185" s="713">
        <f t="shared" ref="D185:O185" si="91">+D167+D132+D184</f>
        <v>1340778784.8899999</v>
      </c>
      <c r="E185" s="713">
        <f t="shared" si="91"/>
        <v>1343739007.79</v>
      </c>
      <c r="F185" s="713">
        <f t="shared" si="91"/>
        <v>1591054573.21</v>
      </c>
      <c r="G185" s="713">
        <f t="shared" si="91"/>
        <v>1811991843.2172728</v>
      </c>
      <c r="H185" s="713">
        <f>+H167+H132+H184</f>
        <v>2056492715.5972733</v>
      </c>
      <c r="I185" s="713">
        <f t="shared" si="91"/>
        <v>2321482301.6100001</v>
      </c>
      <c r="J185" s="713">
        <f t="shared" si="91"/>
        <v>3063437668.3499999</v>
      </c>
      <c r="K185" s="713">
        <f t="shared" si="91"/>
        <v>2968570979.1500001</v>
      </c>
      <c r="L185" s="713">
        <f t="shared" si="91"/>
        <v>2319033942.4099998</v>
      </c>
      <c r="M185" s="714">
        <f t="shared" si="91"/>
        <v>2206319510.9999995</v>
      </c>
      <c r="N185" s="713">
        <f t="shared" si="91"/>
        <v>2299933034.8599997</v>
      </c>
      <c r="O185" s="713">
        <f t="shared" si="91"/>
        <v>18333296141.684547</v>
      </c>
      <c r="P185" s="664"/>
      <c r="Q185" s="664"/>
      <c r="R185" s="664"/>
      <c r="S185" s="664"/>
      <c r="T185" s="664"/>
      <c r="U185" s="595"/>
      <c r="V185" s="715"/>
      <c r="W185" s="715"/>
      <c r="X185" s="715"/>
      <c r="Y185" s="715"/>
    </row>
    <row r="186" spans="1:25" s="590" customFormat="1" ht="10.199999999999999">
      <c r="B186" s="663"/>
      <c r="C186" s="664">
        <f>+C23+C79+C90</f>
        <v>1216215809.8399997</v>
      </c>
      <c r="D186" s="664">
        <f>+D23+D79+D90</f>
        <v>1350729326.8900001</v>
      </c>
      <c r="E186" s="664">
        <f t="shared" ref="E186:I186" si="92">+E23+E79+E90</f>
        <v>1343739007.79</v>
      </c>
      <c r="F186" s="664">
        <f t="shared" si="92"/>
        <v>1591054573.21</v>
      </c>
      <c r="G186" s="664">
        <f>+G23+G79+G90-G62</f>
        <v>1811991843.2172725</v>
      </c>
      <c r="H186" s="664">
        <f>+H23+H79+H90-H62</f>
        <v>2056492715.5972726</v>
      </c>
      <c r="I186" s="664">
        <f t="shared" si="92"/>
        <v>2321482301.6100001</v>
      </c>
      <c r="J186" s="664">
        <f>+J23+J79+J90</f>
        <v>3063437668.3500004</v>
      </c>
      <c r="K186" s="664">
        <f>+K23+K79+K90-K62</f>
        <v>2968570979.1500006</v>
      </c>
      <c r="L186" s="664">
        <f>+L23+L79+L90-L62</f>
        <v>2319033942.4099994</v>
      </c>
      <c r="M186" s="691">
        <f>+M23+M79+M90-M62</f>
        <v>2206319511</v>
      </c>
      <c r="N186" s="664">
        <f t="shared" ref="N186" si="93">+N23+N79+N90</f>
        <v>2299933034.8599997</v>
      </c>
      <c r="O186" s="680">
        <f>SUM(C186:N186)</f>
        <v>24549000713.924545</v>
      </c>
      <c r="P186" s="664"/>
      <c r="Q186" s="664"/>
      <c r="R186" s="664"/>
      <c r="S186" s="664"/>
      <c r="T186" s="664"/>
      <c r="U186" s="595"/>
      <c r="V186" s="595"/>
      <c r="W186" s="595"/>
      <c r="X186" s="595"/>
      <c r="Y186" s="595"/>
    </row>
    <row r="187" spans="1:25" s="590" customFormat="1" ht="10.199999999999999">
      <c r="B187" s="663"/>
      <c r="C187" s="664">
        <f t="shared" ref="C187:O187" si="94">+C186-C185</f>
        <v>0</v>
      </c>
      <c r="D187" s="664">
        <f t="shared" si="94"/>
        <v>9950542.0000002384</v>
      </c>
      <c r="E187" s="664">
        <f t="shared" si="94"/>
        <v>0</v>
      </c>
      <c r="F187" s="664">
        <f t="shared" si="94"/>
        <v>0</v>
      </c>
      <c r="G187" s="664">
        <f t="shared" si="94"/>
        <v>0</v>
      </c>
      <c r="H187" s="664">
        <f t="shared" si="94"/>
        <v>0</v>
      </c>
      <c r="I187" s="664">
        <f t="shared" si="94"/>
        <v>0</v>
      </c>
      <c r="J187" s="664">
        <f t="shared" si="94"/>
        <v>0</v>
      </c>
      <c r="K187" s="664">
        <f t="shared" si="94"/>
        <v>0</v>
      </c>
      <c r="L187" s="664">
        <f t="shared" si="94"/>
        <v>0</v>
      </c>
      <c r="M187" s="691">
        <f t="shared" si="94"/>
        <v>0</v>
      </c>
      <c r="N187" s="664">
        <f t="shared" si="94"/>
        <v>0</v>
      </c>
      <c r="O187" s="664">
        <f t="shared" si="94"/>
        <v>6215704572.2399979</v>
      </c>
      <c r="P187" s="664"/>
      <c r="Q187" s="664"/>
      <c r="R187" s="664"/>
      <c r="S187" s="664"/>
      <c r="T187" s="664"/>
      <c r="U187" s="595"/>
      <c r="V187" s="595"/>
      <c r="W187" s="595"/>
      <c r="X187" s="595"/>
      <c r="Y187" s="595"/>
    </row>
    <row r="188" spans="1:25" s="590" customFormat="1" ht="10.199999999999999">
      <c r="B188" s="663"/>
      <c r="C188" s="664">
        <f>483372946.72+732842863.12</f>
        <v>1216215809.8400002</v>
      </c>
      <c r="D188" s="664">
        <f>421480638.18+919298146.71</f>
        <v>1340778784.8900001</v>
      </c>
      <c r="E188" s="664">
        <f>431003337.3+912735670.49</f>
        <v>1343739007.79</v>
      </c>
      <c r="F188" s="664">
        <f>411592186.27+1179462386.94</f>
        <v>1591054573.21</v>
      </c>
      <c r="G188" s="664">
        <f>553191536.24+1258800306.98-0</f>
        <v>1811991843.22</v>
      </c>
      <c r="H188" s="664">
        <f>710825123.32+1345667592.28</f>
        <v>2056492715.5999999</v>
      </c>
      <c r="I188" s="664">
        <f>888701354.92+1432780946.69</f>
        <v>2321482301.6100001</v>
      </c>
      <c r="J188" s="664">
        <f>1628500166.71+1434937501.64</f>
        <v>3063437668.3500004</v>
      </c>
      <c r="K188" s="664">
        <f>1181081086.93+1787489892.22</f>
        <v>2968570979.1500001</v>
      </c>
      <c r="L188" s="664">
        <f>990607061.05+1328426881.36</f>
        <v>2319033942.4099998</v>
      </c>
      <c r="M188" s="691">
        <f>825176101.96+1381143409.04</f>
        <v>2206319511</v>
      </c>
      <c r="N188" s="664">
        <f>777455348.86+1521961884+515802</f>
        <v>2299933034.8600001</v>
      </c>
      <c r="O188" s="680">
        <f>SUM(C188:N188)</f>
        <v>24539050171.930004</v>
      </c>
      <c r="P188" s="664"/>
      <c r="Q188" s="664"/>
      <c r="R188" s="664"/>
      <c r="S188" s="664"/>
      <c r="T188" s="664"/>
      <c r="U188" s="595"/>
      <c r="V188" s="595"/>
      <c r="W188" s="595"/>
      <c r="X188" s="595"/>
      <c r="Y188" s="595"/>
    </row>
    <row r="189" spans="1:25" s="590" customFormat="1" ht="10.199999999999999">
      <c r="B189" s="663"/>
      <c r="C189" s="664">
        <f>+C188-C185</f>
        <v>0</v>
      </c>
      <c r="D189" s="664">
        <f>+D188-D185</f>
        <v>0</v>
      </c>
      <c r="E189" s="664">
        <f t="shared" ref="E189:N189" si="95">+E188-E186</f>
        <v>0</v>
      </c>
      <c r="F189" s="664">
        <f t="shared" si="95"/>
        <v>0</v>
      </c>
      <c r="G189" s="664">
        <f t="shared" si="95"/>
        <v>2.727508544921875E-3</v>
      </c>
      <c r="H189" s="664">
        <f t="shared" si="95"/>
        <v>2.7272701263427734E-3</v>
      </c>
      <c r="I189" s="664">
        <f t="shared" si="95"/>
        <v>0</v>
      </c>
      <c r="J189" s="664">
        <f t="shared" si="95"/>
        <v>0</v>
      </c>
      <c r="K189" s="664">
        <f t="shared" si="95"/>
        <v>0</v>
      </c>
      <c r="L189" s="664">
        <f t="shared" si="95"/>
        <v>0</v>
      </c>
      <c r="M189" s="691">
        <f t="shared" si="95"/>
        <v>0</v>
      </c>
      <c r="N189" s="664">
        <f t="shared" si="95"/>
        <v>0</v>
      </c>
      <c r="O189" s="595"/>
      <c r="P189" s="595"/>
      <c r="Q189" s="595"/>
      <c r="R189" s="595"/>
      <c r="S189" s="595"/>
      <c r="T189" s="595"/>
      <c r="U189" s="595"/>
      <c r="V189" s="595"/>
      <c r="W189" s="595"/>
      <c r="X189" s="595"/>
      <c r="Y189" s="595"/>
    </row>
    <row r="190" spans="1:25" s="590" customFormat="1" ht="10.199999999999999">
      <c r="B190" s="663"/>
      <c r="C190" s="664"/>
      <c r="D190" s="664"/>
      <c r="E190" s="664"/>
      <c r="F190" s="664"/>
      <c r="G190" s="664"/>
      <c r="H190" s="595"/>
      <c r="I190" s="595"/>
      <c r="J190" s="664"/>
      <c r="K190" s="664"/>
      <c r="L190" s="664"/>
      <c r="M190" s="691"/>
      <c r="N190" s="664"/>
      <c r="O190" s="595"/>
      <c r="P190" s="595"/>
      <c r="Q190" s="595"/>
      <c r="R190" s="595"/>
      <c r="S190" s="595"/>
      <c r="T190" s="595"/>
      <c r="U190" s="595"/>
      <c r="V190" s="595"/>
      <c r="W190" s="595"/>
      <c r="X190" s="595"/>
      <c r="Y190" s="595"/>
    </row>
    <row r="191" spans="1:25">
      <c r="B191" s="663"/>
      <c r="C191" s="664"/>
      <c r="D191" s="664"/>
      <c r="E191" s="664"/>
      <c r="F191" s="664"/>
      <c r="G191" s="664"/>
      <c r="H191" s="595"/>
      <c r="I191" s="595"/>
      <c r="J191" s="664"/>
      <c r="K191" s="664"/>
      <c r="L191" s="664"/>
      <c r="M191" s="691"/>
      <c r="N191" s="664"/>
      <c r="O191" s="595"/>
      <c r="P191" s="595"/>
      <c r="Q191" s="595"/>
      <c r="R191" s="595"/>
      <c r="S191" s="595"/>
      <c r="T191" s="595"/>
    </row>
    <row r="192" spans="1:25">
      <c r="B192" s="663"/>
      <c r="C192" s="664"/>
      <c r="D192" s="664"/>
      <c r="E192" s="664"/>
      <c r="F192" s="664"/>
      <c r="G192" s="664"/>
      <c r="H192" s="664"/>
      <c r="I192" s="664"/>
      <c r="J192" s="664"/>
      <c r="K192" s="664"/>
      <c r="L192" s="664"/>
      <c r="M192" s="691"/>
      <c r="N192" s="664"/>
      <c r="O192" s="664"/>
      <c r="P192" s="664"/>
      <c r="Q192" s="664"/>
      <c r="R192" s="664"/>
      <c r="S192" s="664"/>
      <c r="T192" s="664"/>
    </row>
    <row r="193" spans="1:25">
      <c r="B193" s="663"/>
      <c r="C193" s="664"/>
      <c r="D193" s="664"/>
      <c r="E193" s="664"/>
      <c r="F193" s="664"/>
      <c r="G193" s="664"/>
      <c r="H193" s="664"/>
      <c r="I193" s="664"/>
      <c r="J193" s="664"/>
      <c r="K193" s="664"/>
      <c r="L193" s="664"/>
      <c r="M193" s="691"/>
      <c r="N193" s="664"/>
      <c r="O193" s="664"/>
      <c r="P193" s="664"/>
      <c r="Q193" s="664"/>
      <c r="R193" s="664"/>
      <c r="S193" s="664"/>
      <c r="T193" s="664"/>
    </row>
    <row r="194" spans="1:25">
      <c r="A194" s="706"/>
      <c r="B194" s="717"/>
      <c r="C194" s="709"/>
      <c r="D194" s="709"/>
      <c r="E194" s="709"/>
      <c r="F194" s="709"/>
      <c r="G194" s="709"/>
      <c r="H194" s="709"/>
      <c r="I194" s="709"/>
      <c r="J194" s="709"/>
      <c r="K194" s="709"/>
      <c r="L194" s="709"/>
      <c r="M194" s="710"/>
      <c r="N194" s="709"/>
      <c r="O194" s="718"/>
      <c r="P194" s="686"/>
      <c r="Q194" s="686"/>
      <c r="R194" s="686"/>
      <c r="S194" s="686"/>
      <c r="T194" s="686"/>
      <c r="U194" s="719"/>
    </row>
    <row r="195" spans="1:25" s="702" customFormat="1">
      <c r="A195" s="1114" t="s">
        <v>813</v>
      </c>
      <c r="B195" s="1114"/>
      <c r="C195" s="720">
        <v>203851275.66</v>
      </c>
      <c r="D195" s="721">
        <v>131327647.47</v>
      </c>
      <c r="E195" s="721">
        <v>235397345.97</v>
      </c>
      <c r="F195" s="721">
        <v>475096896.27999997</v>
      </c>
      <c r="G195" s="721">
        <v>396709603.5</v>
      </c>
      <c r="H195" s="721">
        <v>1197901844.74</v>
      </c>
      <c r="I195" s="721">
        <v>935494492.02999997</v>
      </c>
      <c r="J195" s="721">
        <v>467493129.38999999</v>
      </c>
      <c r="K195" s="721">
        <v>680174868.72000003</v>
      </c>
      <c r="L195" s="721">
        <v>406170011.30000001</v>
      </c>
      <c r="M195" s="722">
        <v>597559301.24000001</v>
      </c>
      <c r="N195" s="721">
        <f>868299090.59+2843674.76</f>
        <v>871142765.35000002</v>
      </c>
      <c r="O195" s="680">
        <f t="shared" ref="O195:O237" si="96">SUM(C195:N195)</f>
        <v>6598319181.6499996</v>
      </c>
      <c r="P195" s="681"/>
      <c r="Q195" s="681"/>
      <c r="R195" s="681"/>
      <c r="S195" s="681"/>
      <c r="T195" s="681"/>
      <c r="U195" s="682"/>
      <c r="V195" s="701"/>
      <c r="W195" s="701"/>
      <c r="X195" s="701"/>
      <c r="Y195" s="701"/>
    </row>
    <row r="196" spans="1:25" s="702" customFormat="1">
      <c r="A196" s="1114" t="s">
        <v>381</v>
      </c>
      <c r="B196" s="1114"/>
      <c r="C196" s="720">
        <v>146462641.18000001</v>
      </c>
      <c r="D196" s="721">
        <v>124352218.23</v>
      </c>
      <c r="E196" s="721">
        <v>101977950.92</v>
      </c>
      <c r="F196" s="721">
        <v>67965829.140000001</v>
      </c>
      <c r="G196" s="721">
        <v>15702792.369999999</v>
      </c>
      <c r="H196" s="721">
        <v>30646755.82</v>
      </c>
      <c r="I196" s="721">
        <v>9606570.9900000002</v>
      </c>
      <c r="J196" s="721">
        <v>10935821.390000001</v>
      </c>
      <c r="K196" s="721">
        <v>24647152.850000001</v>
      </c>
      <c r="L196" s="721">
        <v>4661624.28</v>
      </c>
      <c r="M196" s="722">
        <v>16353960.08</v>
      </c>
      <c r="N196" s="721">
        <v>59950060.18</v>
      </c>
      <c r="O196" s="680">
        <f t="shared" si="96"/>
        <v>613263377.43000007</v>
      </c>
      <c r="P196" s="681"/>
      <c r="Q196" s="681"/>
      <c r="R196" s="681"/>
      <c r="S196" s="681"/>
      <c r="T196" s="681"/>
      <c r="U196" s="682"/>
      <c r="V196" s="701"/>
      <c r="W196" s="701"/>
      <c r="X196" s="701"/>
      <c r="Y196" s="701"/>
    </row>
    <row r="197" spans="1:25" s="702" customFormat="1">
      <c r="A197" s="1114" t="s">
        <v>809</v>
      </c>
      <c r="B197" s="1114"/>
      <c r="C197" s="720">
        <v>58923649.539999999</v>
      </c>
      <c r="D197" s="721">
        <v>15934568.17</v>
      </c>
      <c r="E197" s="721">
        <v>53813270.399999999</v>
      </c>
      <c r="F197" s="721">
        <v>19165215.440000001</v>
      </c>
      <c r="G197" s="721">
        <v>12516168.550000001</v>
      </c>
      <c r="H197" s="721">
        <v>9470621.5099999998</v>
      </c>
      <c r="I197" s="721">
        <v>842270212.46000004</v>
      </c>
      <c r="J197" s="721">
        <v>70368214.489999995</v>
      </c>
      <c r="K197" s="721">
        <v>135487935.44</v>
      </c>
      <c r="L197" s="721">
        <v>36096736.82</v>
      </c>
      <c r="M197" s="722">
        <v>21493681.960000001</v>
      </c>
      <c r="N197" s="721">
        <f>109588613.46+438457.87</f>
        <v>110027071.33</v>
      </c>
      <c r="O197" s="680">
        <f t="shared" si="96"/>
        <v>1385567346.1099999</v>
      </c>
      <c r="P197" s="681"/>
      <c r="Q197" s="681"/>
      <c r="R197" s="681"/>
      <c r="S197" s="681"/>
      <c r="T197" s="681"/>
      <c r="U197" s="682"/>
      <c r="V197" s="701"/>
      <c r="W197" s="701"/>
      <c r="X197" s="701"/>
      <c r="Y197" s="701"/>
    </row>
    <row r="198" spans="1:25">
      <c r="A198" s="411"/>
      <c r="B198" s="723" t="s">
        <v>1170</v>
      </c>
      <c r="C198" s="708"/>
      <c r="D198" s="709"/>
      <c r="E198" s="709"/>
      <c r="F198" s="709">
        <v>158338.15</v>
      </c>
      <c r="G198" s="709"/>
      <c r="H198" s="709"/>
      <c r="I198" s="709"/>
      <c r="J198" s="709">
        <v>7272727.2699999996</v>
      </c>
      <c r="K198" s="724"/>
      <c r="L198" s="724"/>
      <c r="M198" s="725"/>
      <c r="N198" s="709">
        <v>19263152.510000002</v>
      </c>
      <c r="O198" s="680">
        <f t="shared" si="96"/>
        <v>26694217.93</v>
      </c>
      <c r="P198" s="681"/>
      <c r="Q198" s="681"/>
      <c r="R198" s="681"/>
      <c r="S198" s="681"/>
      <c r="T198" s="681"/>
      <c r="U198" s="682"/>
    </row>
    <row r="199" spans="1:25">
      <c r="A199" s="1113" t="s">
        <v>1017</v>
      </c>
      <c r="B199" s="1113"/>
      <c r="C199" s="708">
        <v>1073636.3600000001</v>
      </c>
      <c r="D199" s="709">
        <v>210000</v>
      </c>
      <c r="E199" s="709">
        <v>296363.64</v>
      </c>
      <c r="F199" s="709">
        <v>177272.73</v>
      </c>
      <c r="G199" s="709">
        <v>160909.09</v>
      </c>
      <c r="H199" s="709"/>
      <c r="I199" s="709"/>
      <c r="J199" s="709"/>
      <c r="K199" s="709">
        <v>203636.36</v>
      </c>
      <c r="L199" s="709">
        <v>197272.73</v>
      </c>
      <c r="M199" s="710">
        <v>238181.82</v>
      </c>
      <c r="N199" s="709">
        <v>70909.09</v>
      </c>
      <c r="O199" s="680">
        <f t="shared" si="96"/>
        <v>2628181.8199999998</v>
      </c>
      <c r="P199" s="681"/>
      <c r="Q199" s="681"/>
      <c r="R199" s="681"/>
      <c r="S199" s="681"/>
      <c r="T199" s="681"/>
      <c r="U199" s="682"/>
    </row>
    <row r="200" spans="1:25">
      <c r="A200" s="1113" t="s">
        <v>1018</v>
      </c>
      <c r="B200" s="1113"/>
      <c r="C200" s="708">
        <v>1444227.27</v>
      </c>
      <c r="D200" s="709">
        <v>12072000</v>
      </c>
      <c r="E200" s="709">
        <v>5029957.68</v>
      </c>
      <c r="F200" s="709">
        <v>1552818.18</v>
      </c>
      <c r="G200" s="709">
        <v>3590909.09</v>
      </c>
      <c r="H200" s="709">
        <v>30708388.949999999</v>
      </c>
      <c r="I200" s="709">
        <f>984040/1.1</f>
        <v>894581.81818181812</v>
      </c>
      <c r="J200" s="709">
        <v>1044266.11</v>
      </c>
      <c r="K200" s="709">
        <v>1190918.18</v>
      </c>
      <c r="L200" s="709">
        <v>856241.82</v>
      </c>
      <c r="M200" s="710">
        <v>2339493.1</v>
      </c>
      <c r="N200" s="709">
        <v>19403648.640000001</v>
      </c>
      <c r="O200" s="680">
        <f t="shared" si="96"/>
        <v>80127450.838181823</v>
      </c>
      <c r="P200" s="681"/>
      <c r="Q200" s="681"/>
      <c r="R200" s="681"/>
      <c r="S200" s="681"/>
      <c r="T200" s="681"/>
      <c r="U200" s="682"/>
    </row>
    <row r="201" spans="1:25">
      <c r="A201" s="1113" t="s">
        <v>61</v>
      </c>
      <c r="B201" s="1113"/>
      <c r="C201" s="708">
        <v>22298434.809999999</v>
      </c>
      <c r="D201" s="709">
        <v>12822891.4</v>
      </c>
      <c r="E201" s="709">
        <v>11465462.720000001</v>
      </c>
      <c r="F201" s="709">
        <v>11022481.119999999</v>
      </c>
      <c r="G201" s="709">
        <v>10573084.119999999</v>
      </c>
      <c r="H201" s="709">
        <v>11733322.449999999</v>
      </c>
      <c r="I201" s="709">
        <v>12371012.640000001</v>
      </c>
      <c r="J201" s="709">
        <v>17391447.370000001</v>
      </c>
      <c r="K201" s="709">
        <v>11397451.380000001</v>
      </c>
      <c r="L201" s="709">
        <v>15625262.09</v>
      </c>
      <c r="M201" s="710">
        <v>10892029.09</v>
      </c>
      <c r="N201" s="709">
        <v>11060916.82</v>
      </c>
      <c r="O201" s="680">
        <f t="shared" si="96"/>
        <v>158653796.00999999</v>
      </c>
      <c r="P201" s="681"/>
      <c r="Q201" s="681"/>
      <c r="R201" s="681"/>
      <c r="S201" s="681"/>
      <c r="T201" s="681"/>
      <c r="U201" s="682"/>
    </row>
    <row r="202" spans="1:25">
      <c r="A202" s="411"/>
      <c r="B202" s="411" t="s">
        <v>1171</v>
      </c>
      <c r="C202" s="708"/>
      <c r="D202" s="709"/>
      <c r="E202" s="709"/>
      <c r="F202" s="709"/>
      <c r="G202" s="709"/>
      <c r="H202" s="726">
        <f>+H216-12000000</f>
        <v>-12000000</v>
      </c>
      <c r="I202" s="709"/>
      <c r="J202" s="709"/>
      <c r="K202" s="709"/>
      <c r="L202" s="709"/>
      <c r="M202" s="710"/>
      <c r="N202" s="709"/>
      <c r="O202" s="680">
        <f t="shared" si="96"/>
        <v>-12000000</v>
      </c>
      <c r="P202" s="681"/>
      <c r="Q202" s="681"/>
      <c r="R202" s="681"/>
      <c r="S202" s="681"/>
      <c r="T202" s="681"/>
      <c r="U202" s="682"/>
    </row>
    <row r="203" spans="1:25">
      <c r="A203" s="1113" t="s">
        <v>1015</v>
      </c>
      <c r="B203" s="1113"/>
      <c r="C203" s="708"/>
      <c r="D203" s="709"/>
      <c r="E203" s="709"/>
      <c r="F203" s="709"/>
      <c r="G203" s="709"/>
      <c r="H203" s="709"/>
      <c r="I203" s="709"/>
      <c r="J203" s="709"/>
      <c r="K203" s="709"/>
      <c r="L203" s="709"/>
      <c r="M203" s="710"/>
      <c r="N203" s="709"/>
      <c r="O203" s="680">
        <f t="shared" si="96"/>
        <v>0</v>
      </c>
      <c r="P203" s="681"/>
      <c r="Q203" s="681"/>
      <c r="R203" s="681"/>
      <c r="S203" s="681"/>
      <c r="T203" s="681"/>
      <c r="U203" s="682"/>
    </row>
    <row r="204" spans="1:25">
      <c r="B204" s="663"/>
      <c r="C204" s="664">
        <f t="shared" ref="C204:N204" si="97">SUM(C195:C203)</f>
        <v>434053864.82000005</v>
      </c>
      <c r="D204" s="664">
        <f t="shared" si="97"/>
        <v>296719325.26999998</v>
      </c>
      <c r="E204" s="664">
        <f t="shared" si="97"/>
        <v>407980351.32999998</v>
      </c>
      <c r="F204" s="664">
        <f t="shared" si="97"/>
        <v>575138851.03999996</v>
      </c>
      <c r="G204" s="664">
        <f t="shared" si="97"/>
        <v>439253466.71999997</v>
      </c>
      <c r="H204" s="664">
        <f t="shared" si="97"/>
        <v>1268460933.47</v>
      </c>
      <c r="I204" s="664">
        <f t="shared" si="97"/>
        <v>1800636869.9381819</v>
      </c>
      <c r="J204" s="664">
        <f t="shared" si="97"/>
        <v>574505606.01999998</v>
      </c>
      <c r="K204" s="664">
        <f t="shared" si="97"/>
        <v>853101962.92999995</v>
      </c>
      <c r="L204" s="664">
        <f t="shared" ref="L204:M204" si="98">SUM(L195:L203)</f>
        <v>463607149.03999996</v>
      </c>
      <c r="M204" s="664">
        <f t="shared" si="98"/>
        <v>648876647.2900002</v>
      </c>
      <c r="N204" s="664">
        <f t="shared" si="97"/>
        <v>1090918523.9200001</v>
      </c>
      <c r="O204" s="680">
        <f t="shared" si="96"/>
        <v>8853253551.7881813</v>
      </c>
      <c r="P204" s="681"/>
      <c r="Q204" s="681"/>
      <c r="R204" s="681"/>
      <c r="S204" s="681"/>
      <c r="T204" s="681"/>
      <c r="U204" s="682"/>
    </row>
    <row r="205" spans="1:25">
      <c r="B205" s="663"/>
      <c r="C205" s="664">
        <f>+C204-434053864.82</f>
        <v>0</v>
      </c>
      <c r="D205" s="664">
        <f>+D204-296719325.27</f>
        <v>0</v>
      </c>
      <c r="E205" s="664">
        <f>+E204-407980351.33</f>
        <v>0</v>
      </c>
      <c r="F205" s="664">
        <f>+F204-575138851.04</f>
        <v>0</v>
      </c>
      <c r="G205" s="664">
        <f>+G204-439253466.72</f>
        <v>0</v>
      </c>
      <c r="H205" s="664">
        <f>+H204-1280460933.47-H202</f>
        <v>0</v>
      </c>
      <c r="I205" s="664">
        <f>+I204-1799742288.12-894581.82</f>
        <v>-1.8180083716288209E-3</v>
      </c>
      <c r="J205" s="664">
        <f>+J204-574505606.02</f>
        <v>0</v>
      </c>
      <c r="K205" s="664">
        <f>+K204-853101962.93</f>
        <v>0</v>
      </c>
      <c r="L205" s="664">
        <f>+L204-463607149.04</f>
        <v>0</v>
      </c>
      <c r="M205" s="691">
        <f>+M204-648876647.29</f>
        <v>0</v>
      </c>
      <c r="N205" s="664">
        <f>+N204-1090918523.92</f>
        <v>0</v>
      </c>
      <c r="O205" s="680">
        <f t="shared" si="96"/>
        <v>-1.8180083716288209E-3</v>
      </c>
      <c r="P205" s="681"/>
      <c r="Q205" s="681"/>
      <c r="R205" s="681"/>
      <c r="S205" s="681"/>
      <c r="T205" s="681"/>
      <c r="U205" s="682"/>
    </row>
    <row r="206" spans="1:25">
      <c r="A206" s="706"/>
      <c r="B206" s="717"/>
      <c r="C206" s="709"/>
      <c r="D206" s="709"/>
      <c r="E206" s="709"/>
      <c r="F206" s="709"/>
      <c r="G206" s="709"/>
      <c r="H206" s="709"/>
      <c r="I206" s="709"/>
      <c r="J206" s="709"/>
      <c r="K206" s="709"/>
      <c r="L206" s="709"/>
      <c r="M206" s="710"/>
      <c r="N206" s="709"/>
      <c r="O206" s="680">
        <f t="shared" si="96"/>
        <v>0</v>
      </c>
      <c r="P206" s="681"/>
      <c r="Q206" s="681"/>
      <c r="R206" s="681"/>
      <c r="S206" s="681"/>
      <c r="T206" s="681"/>
      <c r="U206" s="682"/>
    </row>
    <row r="207" spans="1:25" s="702" customFormat="1">
      <c r="A207" s="1115" t="s">
        <v>815</v>
      </c>
      <c r="B207" s="1115"/>
      <c r="C207" s="721">
        <v>241036091.59</v>
      </c>
      <c r="D207" s="721">
        <v>126541398.31</v>
      </c>
      <c r="E207" s="721">
        <v>216403952.13999999</v>
      </c>
      <c r="F207" s="721">
        <v>311386338.58999997</v>
      </c>
      <c r="G207" s="721">
        <v>277050389.14999998</v>
      </c>
      <c r="H207" s="721">
        <v>564745071.79999995</v>
      </c>
      <c r="I207" s="721">
        <v>3288620440.3299999</v>
      </c>
      <c r="J207" s="721">
        <v>330227444.23000002</v>
      </c>
      <c r="K207" s="721">
        <v>706008294.03999996</v>
      </c>
      <c r="L207" s="721">
        <v>281262575.75999999</v>
      </c>
      <c r="M207" s="722">
        <v>269686283.55000001</v>
      </c>
      <c r="N207" s="727">
        <v>334756704.01999998</v>
      </c>
      <c r="O207" s="680">
        <f t="shared" si="96"/>
        <v>6947724983.5100002</v>
      </c>
      <c r="P207" s="681"/>
      <c r="Q207" s="681"/>
      <c r="R207" s="681"/>
      <c r="S207" s="681"/>
      <c r="T207" s="681"/>
      <c r="U207" s="682"/>
      <c r="V207" s="701"/>
      <c r="W207" s="701"/>
      <c r="X207" s="701"/>
      <c r="Y207" s="701"/>
    </row>
    <row r="208" spans="1:25" s="702" customFormat="1">
      <c r="A208" s="1115" t="s">
        <v>1019</v>
      </c>
      <c r="B208" s="1115"/>
      <c r="C208" s="721">
        <v>205200</v>
      </c>
      <c r="D208" s="721"/>
      <c r="E208" s="721">
        <v>24300</v>
      </c>
      <c r="F208" s="721"/>
      <c r="G208" s="721"/>
      <c r="H208" s="721"/>
      <c r="I208" s="721"/>
      <c r="J208" s="721"/>
      <c r="K208" s="721">
        <v>20300</v>
      </c>
      <c r="L208" s="721">
        <v>3470000</v>
      </c>
      <c r="M208" s="722">
        <v>3948508.4</v>
      </c>
      <c r="N208" s="721">
        <v>200500</v>
      </c>
      <c r="O208" s="680">
        <f t="shared" si="96"/>
        <v>7868808.4000000004</v>
      </c>
      <c r="P208" s="681"/>
      <c r="Q208" s="681"/>
      <c r="R208" s="681"/>
      <c r="S208" s="681"/>
      <c r="T208" s="681"/>
      <c r="U208" s="682"/>
      <c r="V208" s="701"/>
      <c r="W208" s="701"/>
      <c r="X208" s="701"/>
      <c r="Y208" s="701"/>
    </row>
    <row r="209" spans="1:25">
      <c r="A209" s="1116" t="s">
        <v>811</v>
      </c>
      <c r="B209" s="1116"/>
      <c r="C209" s="709">
        <v>47522217.640000001</v>
      </c>
      <c r="D209" s="709">
        <v>39472367.68</v>
      </c>
      <c r="E209" s="709">
        <v>146136994.72</v>
      </c>
      <c r="F209" s="709">
        <v>73479233.189999998</v>
      </c>
      <c r="G209" s="709">
        <v>35965061.509999998</v>
      </c>
      <c r="H209" s="709">
        <v>95711221.780000001</v>
      </c>
      <c r="I209" s="709">
        <v>89010717.810000002</v>
      </c>
      <c r="J209" s="709">
        <v>59820940.409999996</v>
      </c>
      <c r="K209" s="709">
        <v>543421608.87</v>
      </c>
      <c r="L209" s="709">
        <v>84287661.510000005</v>
      </c>
      <c r="M209" s="710">
        <v>191402176.02000001</v>
      </c>
      <c r="N209" s="728">
        <f>401229638.3+1220749.3+1575704.86</f>
        <v>404026092.46000004</v>
      </c>
      <c r="O209" s="680">
        <f t="shared" si="96"/>
        <v>1810256293.6000001</v>
      </c>
      <c r="P209" s="681"/>
      <c r="Q209" s="681"/>
      <c r="R209" s="681"/>
      <c r="S209" s="681"/>
      <c r="T209" s="681"/>
      <c r="U209" s="682"/>
    </row>
    <row r="210" spans="1:25">
      <c r="A210" s="729"/>
      <c r="B210" s="433" t="s">
        <v>1172</v>
      </c>
      <c r="C210" s="709">
        <v>8240150.7999999998</v>
      </c>
      <c r="D210" s="709">
        <v>537936.31999999995</v>
      </c>
      <c r="E210" s="709"/>
      <c r="F210" s="709"/>
      <c r="G210" s="709"/>
      <c r="H210" s="709"/>
      <c r="I210" s="709"/>
      <c r="J210" s="709">
        <v>1962125.74</v>
      </c>
      <c r="K210" s="724">
        <v>33694334.039999999</v>
      </c>
      <c r="L210" s="724">
        <v>0</v>
      </c>
      <c r="M210" s="725"/>
      <c r="N210" s="709">
        <v>2073243.73</v>
      </c>
      <c r="O210" s="680">
        <f t="shared" si="96"/>
        <v>46507790.629999995</v>
      </c>
      <c r="P210" s="681"/>
      <c r="Q210" s="681"/>
      <c r="R210" s="681"/>
      <c r="S210" s="681"/>
      <c r="T210" s="681"/>
      <c r="U210" s="682"/>
    </row>
    <row r="211" spans="1:25" s="702" customFormat="1">
      <c r="A211" s="412"/>
      <c r="B211" s="730" t="s">
        <v>1173</v>
      </c>
      <c r="C211" s="721">
        <v>28179519.449999999</v>
      </c>
      <c r="D211" s="721">
        <v>11240729.82</v>
      </c>
      <c r="E211" s="721">
        <v>25961576.539999999</v>
      </c>
      <c r="F211" s="721">
        <v>16592950.550000001</v>
      </c>
      <c r="G211" s="721">
        <v>22405340.449999999</v>
      </c>
      <c r="H211" s="721">
        <v>25099322.899999999</v>
      </c>
      <c r="I211" s="721">
        <v>31067412.77</v>
      </c>
      <c r="J211" s="721">
        <f>41181572.26+274373.4</f>
        <v>41455945.659999996</v>
      </c>
      <c r="K211" s="721">
        <v>8228741.9100000001</v>
      </c>
      <c r="L211" s="721">
        <f>8561331+750000</f>
        <v>9311331</v>
      </c>
      <c r="M211" s="722">
        <v>127788158.27</v>
      </c>
      <c r="N211" s="721">
        <v>4870285.8899999997</v>
      </c>
      <c r="O211" s="680">
        <f t="shared" si="96"/>
        <v>352201315.20999998</v>
      </c>
      <c r="P211" s="681"/>
      <c r="Q211" s="681"/>
      <c r="R211" s="681"/>
      <c r="S211" s="681"/>
      <c r="T211" s="681"/>
      <c r="U211" s="682"/>
      <c r="V211" s="701"/>
      <c r="W211" s="701"/>
      <c r="X211" s="701"/>
      <c r="Y211" s="701"/>
    </row>
    <row r="212" spans="1:25">
      <c r="A212" s="411"/>
      <c r="B212" s="731" t="s">
        <v>1174</v>
      </c>
      <c r="C212" s="709"/>
      <c r="D212" s="709">
        <v>3752424.24</v>
      </c>
      <c r="E212" s="709"/>
      <c r="F212" s="709">
        <v>806785</v>
      </c>
      <c r="G212" s="709">
        <v>630167.52</v>
      </c>
      <c r="H212" s="709">
        <v>27126.19</v>
      </c>
      <c r="I212" s="709">
        <v>14235.86</v>
      </c>
      <c r="J212" s="709">
        <v>26563.34</v>
      </c>
      <c r="K212" s="709">
        <v>10128.969999999999</v>
      </c>
      <c r="L212" s="709"/>
      <c r="M212" s="710">
        <v>599578.92000000004</v>
      </c>
      <c r="N212" s="709">
        <v>2047917.78</v>
      </c>
      <c r="O212" s="680">
        <f t="shared" si="96"/>
        <v>7914927.8200000003</v>
      </c>
      <c r="P212" s="681"/>
      <c r="Q212" s="681"/>
      <c r="R212" s="681"/>
      <c r="S212" s="681"/>
      <c r="T212" s="681"/>
      <c r="U212" s="682"/>
    </row>
    <row r="213" spans="1:25">
      <c r="A213" s="411"/>
      <c r="B213" s="411" t="s">
        <v>1175</v>
      </c>
      <c r="C213" s="732">
        <v>868803.97</v>
      </c>
      <c r="D213" s="709">
        <v>868803.97</v>
      </c>
      <c r="E213" s="709">
        <v>867904.28</v>
      </c>
      <c r="F213" s="709">
        <v>874073.98</v>
      </c>
      <c r="G213" s="709">
        <v>1313167.6200000001</v>
      </c>
      <c r="H213" s="709">
        <v>868663.99</v>
      </c>
      <c r="I213" s="709">
        <v>868803.98</v>
      </c>
      <c r="J213" s="709">
        <v>1034315.98</v>
      </c>
      <c r="K213" s="709">
        <v>868804.01</v>
      </c>
      <c r="L213" s="709">
        <v>868803.98</v>
      </c>
      <c r="M213" s="710">
        <v>868804.49</v>
      </c>
      <c r="N213" s="709">
        <v>868802</v>
      </c>
      <c r="O213" s="680">
        <f t="shared" si="96"/>
        <v>11039752.250000002</v>
      </c>
      <c r="P213" s="681"/>
      <c r="Q213" s="681"/>
      <c r="R213" s="681"/>
      <c r="S213" s="681"/>
      <c r="T213" s="681"/>
      <c r="U213" s="682"/>
    </row>
    <row r="214" spans="1:25" s="742" customFormat="1">
      <c r="A214" s="733"/>
      <c r="B214" s="733" t="s">
        <v>417</v>
      </c>
      <c r="C214" s="734"/>
      <c r="D214" s="735"/>
      <c r="E214" s="735"/>
      <c r="F214" s="735"/>
      <c r="G214" s="735"/>
      <c r="H214" s="735"/>
      <c r="I214" s="735"/>
      <c r="J214" s="735"/>
      <c r="K214" s="735"/>
      <c r="L214" s="735"/>
      <c r="M214" s="736"/>
      <c r="N214" s="737">
        <f>-296974905+127065753.61+0.39</f>
        <v>-169909151</v>
      </c>
      <c r="O214" s="738">
        <f t="shared" si="96"/>
        <v>-169909151</v>
      </c>
      <c r="P214" s="739"/>
      <c r="Q214" s="739"/>
      <c r="R214" s="739"/>
      <c r="S214" s="739"/>
      <c r="T214" s="739"/>
      <c r="U214" s="740"/>
      <c r="V214" s="741"/>
      <c r="W214" s="741"/>
      <c r="X214" s="741"/>
      <c r="Y214" s="741"/>
    </row>
    <row r="215" spans="1:25" s="742" customFormat="1">
      <c r="A215" s="733"/>
      <c r="B215" s="733" t="s">
        <v>703</v>
      </c>
      <c r="C215" s="734"/>
      <c r="D215" s="735">
        <v>9950542</v>
      </c>
      <c r="E215" s="735"/>
      <c r="F215" s="735"/>
      <c r="G215" s="735"/>
      <c r="H215" s="735"/>
      <c r="I215" s="735"/>
      <c r="J215" s="735"/>
      <c r="K215" s="743"/>
      <c r="L215" s="743"/>
      <c r="M215" s="744"/>
      <c r="N215" s="735"/>
      <c r="O215" s="738">
        <f t="shared" si="96"/>
        <v>9950542</v>
      </c>
      <c r="P215" s="739"/>
      <c r="Q215" s="739"/>
      <c r="R215" s="739"/>
      <c r="S215" s="739"/>
      <c r="T215" s="739"/>
      <c r="U215" s="740"/>
      <c r="V215" s="741"/>
      <c r="W215" s="741"/>
      <c r="X215" s="741"/>
      <c r="Y215" s="741"/>
    </row>
    <row r="216" spans="1:25" s="742" customFormat="1">
      <c r="A216" s="733"/>
      <c r="B216" s="733" t="s">
        <v>1176</v>
      </c>
      <c r="C216" s="734"/>
      <c r="D216" s="735"/>
      <c r="E216" s="735"/>
      <c r="F216" s="735">
        <v>18072789.129999999</v>
      </c>
      <c r="G216" s="735"/>
      <c r="H216" s="737"/>
      <c r="I216" s="735">
        <v>604191.81000000006</v>
      </c>
      <c r="J216" s="735"/>
      <c r="K216" s="735">
        <v>79421483.770000026</v>
      </c>
      <c r="L216" s="735">
        <v>22564754.32</v>
      </c>
      <c r="M216" s="736">
        <v>1178147.6000000001</v>
      </c>
      <c r="N216" s="737">
        <v>39573247.119999997</v>
      </c>
      <c r="O216" s="738">
        <f t="shared" si="96"/>
        <v>161414613.75000003</v>
      </c>
      <c r="P216" s="739"/>
      <c r="Q216" s="739"/>
      <c r="R216" s="739"/>
      <c r="S216" s="739"/>
      <c r="T216" s="739"/>
      <c r="U216" s="740"/>
      <c r="V216" s="741"/>
      <c r="W216" s="741"/>
      <c r="X216" s="741"/>
      <c r="Y216" s="741"/>
    </row>
    <row r="217" spans="1:25" s="742" customFormat="1">
      <c r="A217" s="733"/>
      <c r="B217" s="733" t="s">
        <v>1177</v>
      </c>
      <c r="C217" s="734">
        <v>159047.73000000001</v>
      </c>
      <c r="D217" s="735"/>
      <c r="E217" s="735">
        <v>15523404.949999999</v>
      </c>
      <c r="F217" s="735">
        <v>4161500</v>
      </c>
      <c r="G217" s="735"/>
      <c r="H217" s="737">
        <f>228220210.66-216220210.66</f>
        <v>12000000</v>
      </c>
      <c r="I217" s="735"/>
      <c r="J217" s="735"/>
      <c r="K217" s="735"/>
      <c r="L217" s="735"/>
      <c r="M217" s="736"/>
      <c r="N217" s="737"/>
      <c r="O217" s="738">
        <f t="shared" si="96"/>
        <v>31843952.68</v>
      </c>
      <c r="P217" s="739"/>
      <c r="Q217" s="739"/>
      <c r="R217" s="739"/>
      <c r="S217" s="739"/>
      <c r="T217" s="739"/>
      <c r="U217" s="740"/>
      <c r="V217" s="741"/>
      <c r="W217" s="741"/>
      <c r="X217" s="741"/>
      <c r="Y217" s="741"/>
    </row>
    <row r="218" spans="1:25" s="742" customFormat="1">
      <c r="A218" s="733"/>
      <c r="B218" s="733" t="s">
        <v>1015</v>
      </c>
      <c r="C218" s="734"/>
      <c r="D218" s="735"/>
      <c r="E218" s="735"/>
      <c r="F218" s="735"/>
      <c r="G218" s="735"/>
      <c r="H218" s="735"/>
      <c r="I218" s="735"/>
      <c r="J218" s="735"/>
      <c r="K218" s="735"/>
      <c r="L218" s="735"/>
      <c r="M218" s="736"/>
      <c r="N218" s="735"/>
      <c r="O218" s="738">
        <f t="shared" si="96"/>
        <v>0</v>
      </c>
      <c r="P218" s="739"/>
      <c r="Q218" s="739"/>
      <c r="R218" s="739"/>
      <c r="S218" s="739"/>
      <c r="T218" s="739"/>
      <c r="U218" s="740"/>
      <c r="V218" s="741"/>
      <c r="W218" s="741"/>
      <c r="X218" s="741"/>
      <c r="Y218" s="741"/>
    </row>
    <row r="219" spans="1:25" s="742" customFormat="1">
      <c r="A219" s="733"/>
      <c r="B219" s="733" t="s">
        <v>699</v>
      </c>
      <c r="C219" s="734">
        <v>855215</v>
      </c>
      <c r="D219" s="735">
        <v>8607785</v>
      </c>
      <c r="E219" s="735">
        <v>3125059</v>
      </c>
      <c r="F219" s="735">
        <v>8015838.3700000001</v>
      </c>
      <c r="G219" s="735">
        <v>5609219.1299999999</v>
      </c>
      <c r="H219" s="735">
        <v>3083452.73</v>
      </c>
      <c r="I219" s="735">
        <v>3702380</v>
      </c>
      <c r="J219" s="735">
        <v>5739734</v>
      </c>
      <c r="K219" s="735">
        <v>3714177</v>
      </c>
      <c r="L219" s="735">
        <v>4746108</v>
      </c>
      <c r="M219" s="736">
        <v>2078076</v>
      </c>
      <c r="N219" s="735">
        <v>1755401.64</v>
      </c>
      <c r="O219" s="738">
        <f t="shared" si="96"/>
        <v>51032445.870000005</v>
      </c>
      <c r="P219" s="739"/>
      <c r="Q219" s="739"/>
      <c r="R219" s="739"/>
      <c r="S219" s="739"/>
      <c r="T219" s="739"/>
      <c r="U219" s="740"/>
      <c r="V219" s="741"/>
      <c r="W219" s="741"/>
      <c r="X219" s="741"/>
      <c r="Y219" s="741"/>
    </row>
    <row r="220" spans="1:25" s="742" customFormat="1">
      <c r="A220" s="733"/>
      <c r="B220" s="733" t="s">
        <v>1178</v>
      </c>
      <c r="C220" s="734">
        <v>248281</v>
      </c>
      <c r="D220" s="735"/>
      <c r="E220" s="735"/>
      <c r="F220" s="735"/>
      <c r="G220" s="735"/>
      <c r="H220" s="735">
        <v>178058.23</v>
      </c>
      <c r="I220" s="735">
        <v>2800000</v>
      </c>
      <c r="J220" s="735">
        <v>950000</v>
      </c>
      <c r="K220" s="743"/>
      <c r="L220" s="743"/>
      <c r="M220" s="744"/>
      <c r="N220" s="735"/>
      <c r="O220" s="738">
        <f t="shared" si="96"/>
        <v>4176339.23</v>
      </c>
      <c r="P220" s="739"/>
      <c r="Q220" s="739"/>
      <c r="R220" s="739"/>
      <c r="S220" s="739"/>
      <c r="T220" s="739"/>
      <c r="U220" s="740"/>
      <c r="V220" s="741"/>
      <c r="W220" s="741"/>
      <c r="X220" s="741"/>
      <c r="Y220" s="741"/>
    </row>
    <row r="221" spans="1:25" s="742" customFormat="1">
      <c r="A221" s="733"/>
      <c r="B221" s="733" t="s">
        <v>1179</v>
      </c>
      <c r="C221" s="734"/>
      <c r="D221" s="735">
        <v>9556225.4499999993</v>
      </c>
      <c r="E221" s="735">
        <v>5879709.0899999999</v>
      </c>
      <c r="F221" s="735">
        <v>300000</v>
      </c>
      <c r="G221" s="735">
        <v>42040818.18</v>
      </c>
      <c r="H221" s="735"/>
      <c r="I221" s="735">
        <v>3242020.2</v>
      </c>
      <c r="J221" s="735">
        <v>212000</v>
      </c>
      <c r="K221" s="735"/>
      <c r="L221" s="735"/>
      <c r="M221" s="736"/>
      <c r="N221" s="735">
        <v>98614150.489999995</v>
      </c>
      <c r="O221" s="738">
        <f t="shared" si="96"/>
        <v>159844923.41</v>
      </c>
      <c r="P221" s="739"/>
      <c r="Q221" s="739"/>
      <c r="R221" s="739"/>
      <c r="S221" s="739"/>
      <c r="T221" s="739"/>
      <c r="U221" s="740"/>
      <c r="V221" s="741"/>
      <c r="W221" s="741"/>
      <c r="X221" s="741"/>
      <c r="Y221" s="741"/>
    </row>
    <row r="222" spans="1:25" s="742" customFormat="1">
      <c r="A222" s="733"/>
      <c r="B222" s="733" t="s">
        <v>1180</v>
      </c>
      <c r="C222" s="734">
        <v>5163000</v>
      </c>
      <c r="D222" s="735">
        <v>1787707.36</v>
      </c>
      <c r="E222" s="735">
        <v>55677076.170000002</v>
      </c>
      <c r="F222" s="735">
        <v>25871449.800000001</v>
      </c>
      <c r="G222" s="735">
        <v>11975029.1</v>
      </c>
      <c r="H222" s="735">
        <f>13530158.86-4148592.69</f>
        <v>9381566.1699999999</v>
      </c>
      <c r="I222" s="735">
        <f>16014670.53-129969</f>
        <v>15884701.529999999</v>
      </c>
      <c r="J222" s="735">
        <v>19985086.760000002</v>
      </c>
      <c r="K222" s="735">
        <v>24876260.879999999</v>
      </c>
      <c r="L222" s="735">
        <v>5569250.6500000004</v>
      </c>
      <c r="M222" s="736">
        <v>6269993.71</v>
      </c>
      <c r="N222" s="735">
        <v>4728955.2699999996</v>
      </c>
      <c r="O222" s="738">
        <f t="shared" si="96"/>
        <v>187170077.40000001</v>
      </c>
      <c r="P222" s="739"/>
      <c r="Q222" s="739"/>
      <c r="R222" s="739"/>
      <c r="S222" s="739"/>
      <c r="T222" s="739"/>
      <c r="U222" s="740"/>
      <c r="V222" s="741"/>
      <c r="W222" s="741"/>
      <c r="X222" s="741"/>
      <c r="Y222" s="741"/>
    </row>
    <row r="223" spans="1:25">
      <c r="A223" s="411"/>
      <c r="B223" s="411" t="s">
        <v>1181</v>
      </c>
      <c r="C223" s="732">
        <v>762545.34</v>
      </c>
      <c r="D223" s="745">
        <v>671249.03</v>
      </c>
      <c r="E223" s="709">
        <v>743168.56</v>
      </c>
      <c r="F223" s="709">
        <v>719195.44</v>
      </c>
      <c r="G223" s="709">
        <v>743168.56</v>
      </c>
      <c r="H223" s="709">
        <v>1578692.4</v>
      </c>
      <c r="I223" s="709">
        <v>1631315.48</v>
      </c>
      <c r="J223" s="709">
        <v>1631315.48</v>
      </c>
      <c r="K223" s="709">
        <v>1578692.4</v>
      </c>
      <c r="L223" s="709">
        <v>1707292.2</v>
      </c>
      <c r="M223" s="710">
        <v>1707292.2</v>
      </c>
      <c r="N223" s="709">
        <v>1764201.94</v>
      </c>
      <c r="O223" s="680">
        <f t="shared" si="96"/>
        <v>15238129.029999999</v>
      </c>
      <c r="P223" s="681"/>
      <c r="Q223" s="681"/>
      <c r="R223" s="681"/>
      <c r="S223" s="681"/>
      <c r="T223" s="681"/>
      <c r="U223" s="682"/>
    </row>
    <row r="224" spans="1:25" s="702" customFormat="1">
      <c r="A224" s="412"/>
      <c r="B224" s="412" t="s">
        <v>1182</v>
      </c>
      <c r="C224" s="746">
        <v>200000</v>
      </c>
      <c r="D224" s="721">
        <v>300000</v>
      </c>
      <c r="E224" s="721">
        <v>650000</v>
      </c>
      <c r="F224" s="721"/>
      <c r="G224" s="721">
        <v>2097986.38</v>
      </c>
      <c r="H224" s="721">
        <v>3274765</v>
      </c>
      <c r="I224" s="721">
        <v>3097000</v>
      </c>
      <c r="J224" s="721">
        <v>550000</v>
      </c>
      <c r="K224" s="747">
        <v>350000</v>
      </c>
      <c r="L224" s="747">
        <v>2550000</v>
      </c>
      <c r="M224" s="748">
        <v>1800000</v>
      </c>
      <c r="N224" s="721">
        <v>50000</v>
      </c>
      <c r="O224" s="680">
        <f t="shared" si="96"/>
        <v>14919751.379999999</v>
      </c>
      <c r="P224" s="681"/>
      <c r="Q224" s="681"/>
      <c r="R224" s="681"/>
      <c r="S224" s="681"/>
      <c r="T224" s="681"/>
      <c r="U224" s="682"/>
      <c r="V224" s="701"/>
      <c r="W224" s="701"/>
      <c r="X224" s="701"/>
      <c r="Y224" s="701"/>
    </row>
    <row r="225" spans="1:21">
      <c r="A225" s="411"/>
      <c r="B225" s="411" t="s">
        <v>1183</v>
      </c>
      <c r="C225" s="732"/>
      <c r="D225" s="709">
        <v>95288</v>
      </c>
      <c r="E225" s="709">
        <v>120835</v>
      </c>
      <c r="F225" s="709">
        <v>110353</v>
      </c>
      <c r="G225" s="709">
        <v>93917</v>
      </c>
      <c r="H225" s="709">
        <v>87809</v>
      </c>
      <c r="I225" s="709">
        <v>274288</v>
      </c>
      <c r="J225" s="709">
        <v>1251678.6299999999</v>
      </c>
      <c r="K225" s="709">
        <v>173707.78</v>
      </c>
      <c r="L225" s="709">
        <v>163330</v>
      </c>
      <c r="M225" s="710">
        <v>163316</v>
      </c>
      <c r="N225" s="709">
        <v>230013</v>
      </c>
      <c r="O225" s="680">
        <f t="shared" si="96"/>
        <v>2764535.4099999997</v>
      </c>
      <c r="P225" s="681"/>
      <c r="Q225" s="681"/>
      <c r="R225" s="681"/>
      <c r="S225" s="681"/>
      <c r="T225" s="681"/>
      <c r="U225" s="682"/>
    </row>
    <row r="226" spans="1:21">
      <c r="A226" s="411"/>
      <c r="B226" s="411" t="s">
        <v>1184</v>
      </c>
      <c r="C226" s="732"/>
      <c r="D226" s="709"/>
      <c r="E226" s="709">
        <v>592910</v>
      </c>
      <c r="F226" s="709">
        <v>405500</v>
      </c>
      <c r="G226" s="709">
        <v>306468</v>
      </c>
      <c r="H226" s="709"/>
      <c r="I226" s="709"/>
      <c r="J226" s="709"/>
      <c r="K226" s="709"/>
      <c r="L226" s="709">
        <v>102608</v>
      </c>
      <c r="M226" s="710">
        <v>288039</v>
      </c>
      <c r="N226" s="709">
        <v>767249</v>
      </c>
      <c r="O226" s="680">
        <f t="shared" si="96"/>
        <v>2462774</v>
      </c>
      <c r="P226" s="681"/>
      <c r="Q226" s="681"/>
      <c r="R226" s="681"/>
      <c r="S226" s="681"/>
      <c r="T226" s="681"/>
      <c r="U226" s="682"/>
    </row>
    <row r="227" spans="1:21">
      <c r="A227" s="411"/>
      <c r="B227" s="411" t="s">
        <v>1185</v>
      </c>
      <c r="C227" s="732"/>
      <c r="D227" s="709">
        <v>3506721</v>
      </c>
      <c r="E227" s="709">
        <v>2843894.23</v>
      </c>
      <c r="F227" s="709">
        <v>1595039.53</v>
      </c>
      <c r="G227" s="709">
        <v>2221224.08</v>
      </c>
      <c r="H227" s="709">
        <v>1728658.84</v>
      </c>
      <c r="I227" s="709">
        <v>1160327.1599999999</v>
      </c>
      <c r="J227" s="709"/>
      <c r="K227" s="709">
        <v>1610839.94</v>
      </c>
      <c r="L227" s="709">
        <v>1716790.57</v>
      </c>
      <c r="M227" s="710">
        <v>621494.43999999994</v>
      </c>
      <c r="N227" s="709">
        <v>4137056.17</v>
      </c>
      <c r="O227" s="680">
        <f t="shared" si="96"/>
        <v>21142045.960000001</v>
      </c>
      <c r="P227" s="681"/>
      <c r="Q227" s="681"/>
      <c r="R227" s="681"/>
      <c r="S227" s="681"/>
      <c r="T227" s="681"/>
      <c r="U227" s="682"/>
    </row>
    <row r="228" spans="1:21">
      <c r="A228" s="411"/>
      <c r="B228" s="411" t="s">
        <v>1186</v>
      </c>
      <c r="C228" s="732"/>
      <c r="D228" s="709"/>
      <c r="E228" s="709"/>
      <c r="F228" s="709">
        <v>194800</v>
      </c>
      <c r="G228" s="709">
        <v>194970</v>
      </c>
      <c r="H228" s="709">
        <v>687535.24</v>
      </c>
      <c r="I228" s="709">
        <v>771526.78</v>
      </c>
      <c r="J228" s="709"/>
      <c r="K228" s="709"/>
      <c r="L228" s="709"/>
      <c r="M228" s="710">
        <v>548102.89</v>
      </c>
      <c r="N228" s="709"/>
      <c r="O228" s="680">
        <f t="shared" si="96"/>
        <v>2396934.91</v>
      </c>
      <c r="P228" s="681"/>
      <c r="Q228" s="681"/>
      <c r="R228" s="681"/>
      <c r="S228" s="681"/>
      <c r="T228" s="681"/>
      <c r="U228" s="682"/>
    </row>
    <row r="229" spans="1:21">
      <c r="A229" s="411"/>
      <c r="B229" s="411" t="s">
        <v>1187</v>
      </c>
      <c r="C229" s="732"/>
      <c r="D229" s="709"/>
      <c r="E229" s="709">
        <v>218349.83</v>
      </c>
      <c r="F229" s="709">
        <v>174566.52</v>
      </c>
      <c r="G229" s="709">
        <v>152706.68</v>
      </c>
      <c r="H229" s="709">
        <v>79185.78</v>
      </c>
      <c r="I229" s="709">
        <v>75773.600000000006</v>
      </c>
      <c r="J229" s="709">
        <v>79925.94</v>
      </c>
      <c r="K229" s="709">
        <v>67173.279999999999</v>
      </c>
      <c r="L229" s="709">
        <v>91789.28</v>
      </c>
      <c r="M229" s="710">
        <v>136273.28</v>
      </c>
      <c r="N229" s="709">
        <v>359910.04</v>
      </c>
      <c r="O229" s="680">
        <f t="shared" si="96"/>
        <v>1435654.2300000002</v>
      </c>
      <c r="P229" s="681"/>
      <c r="Q229" s="681"/>
      <c r="R229" s="681"/>
      <c r="S229" s="681"/>
      <c r="T229" s="681"/>
      <c r="U229" s="682"/>
    </row>
    <row r="230" spans="1:21">
      <c r="A230" s="411"/>
      <c r="B230" s="411" t="s">
        <v>1188</v>
      </c>
      <c r="C230" s="732"/>
      <c r="D230" s="709"/>
      <c r="E230" s="728">
        <v>0</v>
      </c>
      <c r="F230" s="709"/>
      <c r="G230" s="709"/>
      <c r="H230" s="709">
        <v>2316176.1</v>
      </c>
      <c r="I230" s="709">
        <v>2393381.9700000002</v>
      </c>
      <c r="J230" s="709">
        <v>2393381.9700000002</v>
      </c>
      <c r="K230" s="709">
        <v>2316176.1</v>
      </c>
      <c r="L230" s="709">
        <v>2393381.9700000002</v>
      </c>
      <c r="M230" s="710">
        <v>2316176.1</v>
      </c>
      <c r="N230" s="709">
        <v>2393381.9700000002</v>
      </c>
      <c r="O230" s="680">
        <f t="shared" si="96"/>
        <v>16522056.180000002</v>
      </c>
      <c r="P230" s="681"/>
      <c r="Q230" s="681"/>
      <c r="R230" s="681"/>
      <c r="S230" s="681"/>
      <c r="T230" s="681"/>
      <c r="U230" s="682"/>
    </row>
    <row r="231" spans="1:21">
      <c r="A231" s="411"/>
      <c r="B231" s="411" t="s">
        <v>1189</v>
      </c>
      <c r="C231" s="732">
        <v>686930.43</v>
      </c>
      <c r="D231" s="709">
        <v>607220.73</v>
      </c>
      <c r="E231" s="709">
        <v>2467439.75</v>
      </c>
      <c r="F231" s="709">
        <v>65527.49</v>
      </c>
      <c r="G231" s="709">
        <v>105721.5</v>
      </c>
      <c r="H231" s="709">
        <v>469545.45</v>
      </c>
      <c r="I231" s="709">
        <v>339720.64</v>
      </c>
      <c r="J231" s="709">
        <v>223618.19</v>
      </c>
      <c r="K231" s="709">
        <v>580376.77</v>
      </c>
      <c r="L231" s="709">
        <v>112733.3</v>
      </c>
      <c r="M231" s="710"/>
      <c r="N231" s="709"/>
      <c r="O231" s="680">
        <f t="shared" si="96"/>
        <v>5658834.2500000009</v>
      </c>
      <c r="P231" s="681"/>
      <c r="Q231" s="681"/>
      <c r="R231" s="681"/>
      <c r="S231" s="681"/>
      <c r="T231" s="681"/>
      <c r="U231" s="682"/>
    </row>
    <row r="232" spans="1:21">
      <c r="A232" s="411"/>
      <c r="B232" s="411" t="s">
        <v>1190</v>
      </c>
      <c r="C232" s="732">
        <v>762545.34</v>
      </c>
      <c r="D232" s="745">
        <f>671249.03</f>
        <v>671249.03</v>
      </c>
      <c r="E232" s="709">
        <v>743168.56</v>
      </c>
      <c r="F232" s="709">
        <v>719195.44</v>
      </c>
      <c r="G232" s="709">
        <v>743168.56</v>
      </c>
      <c r="H232" s="709">
        <v>1207971.8999999999</v>
      </c>
      <c r="I232" s="709">
        <v>1248237.6299999999</v>
      </c>
      <c r="J232" s="709">
        <v>1248237.6299999999</v>
      </c>
      <c r="K232" s="709">
        <v>1207971.8999999999</v>
      </c>
      <c r="L232" s="709">
        <v>1248237.6299999999</v>
      </c>
      <c r="M232" s="710">
        <v>1207971.8999999999</v>
      </c>
      <c r="N232" s="709">
        <v>1248237.6299999999</v>
      </c>
      <c r="O232" s="680">
        <f t="shared" si="96"/>
        <v>12256193.150000002</v>
      </c>
      <c r="P232" s="681"/>
      <c r="Q232" s="681"/>
      <c r="R232" s="681"/>
      <c r="S232" s="681"/>
      <c r="T232" s="681"/>
      <c r="U232" s="682"/>
    </row>
    <row r="233" spans="1:21">
      <c r="A233" s="411"/>
      <c r="B233" s="411" t="s">
        <v>1191</v>
      </c>
      <c r="C233" s="732"/>
      <c r="D233" s="709"/>
      <c r="E233" s="709"/>
      <c r="F233" s="709"/>
      <c r="G233" s="709">
        <f>16363.64+61485.28</f>
        <v>77848.92</v>
      </c>
      <c r="H233" s="709"/>
      <c r="I233" s="709"/>
      <c r="J233" s="709">
        <v>16363.64</v>
      </c>
      <c r="K233" s="709"/>
      <c r="L233" s="709">
        <v>66363.64</v>
      </c>
      <c r="M233" s="710"/>
      <c r="N233" s="709">
        <v>50000</v>
      </c>
      <c r="O233" s="680">
        <f t="shared" si="96"/>
        <v>210576.2</v>
      </c>
      <c r="P233" s="681"/>
      <c r="Q233" s="681"/>
      <c r="R233" s="681"/>
      <c r="S233" s="681"/>
      <c r="T233" s="681"/>
      <c r="U233" s="682"/>
    </row>
    <row r="234" spans="1:21">
      <c r="A234" s="411"/>
      <c r="B234" s="749" t="s">
        <v>1192</v>
      </c>
      <c r="C234" s="750"/>
      <c r="D234" s="724"/>
      <c r="E234" s="724"/>
      <c r="F234" s="724"/>
      <c r="G234" s="724"/>
      <c r="H234" s="724">
        <f>216220210.66</f>
        <v>216220210.66</v>
      </c>
      <c r="I234" s="724">
        <v>70449044.170000002</v>
      </c>
      <c r="J234" s="724">
        <f>7811905.55-274373.4</f>
        <v>7537532.1499999994</v>
      </c>
      <c r="K234" s="724"/>
      <c r="L234" s="724">
        <v>42149789.149999999</v>
      </c>
      <c r="M234" s="724">
        <v>165871410.16999999</v>
      </c>
      <c r="N234" s="724"/>
      <c r="O234" s="751">
        <f t="shared" si="96"/>
        <v>502227986.29999995</v>
      </c>
      <c r="P234" s="681"/>
      <c r="Q234" s="681"/>
      <c r="R234" s="681"/>
      <c r="S234" s="681"/>
      <c r="T234" s="681"/>
      <c r="U234" s="682"/>
    </row>
    <row r="235" spans="1:21">
      <c r="A235" s="411"/>
      <c r="B235" s="411"/>
      <c r="C235" s="732"/>
      <c r="D235" s="709"/>
      <c r="E235" s="709"/>
      <c r="F235" s="709"/>
      <c r="G235" s="709"/>
      <c r="H235" s="709"/>
      <c r="I235" s="709"/>
      <c r="J235" s="709"/>
      <c r="K235" s="709"/>
      <c r="L235" s="709"/>
      <c r="M235" s="710"/>
      <c r="N235" s="709"/>
      <c r="O235" s="680">
        <f t="shared" si="96"/>
        <v>0</v>
      </c>
      <c r="P235" s="681"/>
      <c r="Q235" s="681"/>
      <c r="R235" s="681"/>
      <c r="S235" s="681"/>
      <c r="T235" s="681"/>
      <c r="U235" s="682"/>
    </row>
    <row r="236" spans="1:21">
      <c r="A236" s="1113"/>
      <c r="B236" s="1113"/>
      <c r="C236" s="708"/>
      <c r="D236" s="709"/>
      <c r="E236" s="709"/>
      <c r="F236" s="709"/>
      <c r="G236" s="709"/>
      <c r="H236" s="709"/>
      <c r="I236" s="709"/>
      <c r="J236" s="709"/>
      <c r="K236" s="709"/>
      <c r="L236" s="709"/>
      <c r="M236" s="710"/>
      <c r="N236" s="709"/>
      <c r="O236" s="680">
        <f t="shared" si="96"/>
        <v>0</v>
      </c>
      <c r="P236" s="681"/>
      <c r="Q236" s="681"/>
      <c r="R236" s="681"/>
      <c r="S236" s="681"/>
      <c r="T236" s="681"/>
      <c r="U236" s="682"/>
    </row>
    <row r="237" spans="1:21">
      <c r="A237" s="1113"/>
      <c r="B237" s="1113"/>
      <c r="C237" s="708"/>
      <c r="D237" s="709"/>
      <c r="E237" s="709"/>
      <c r="F237" s="709"/>
      <c r="G237" s="709"/>
      <c r="H237" s="709"/>
      <c r="I237" s="709"/>
      <c r="J237" s="709"/>
      <c r="K237" s="709"/>
      <c r="L237" s="709"/>
      <c r="M237" s="710"/>
      <c r="N237" s="709"/>
      <c r="O237" s="680">
        <f t="shared" si="96"/>
        <v>0</v>
      </c>
      <c r="P237" s="681"/>
      <c r="Q237" s="681"/>
      <c r="R237" s="681"/>
      <c r="S237" s="681"/>
      <c r="T237" s="681"/>
      <c r="U237" s="682"/>
    </row>
    <row r="238" spans="1:21">
      <c r="A238" s="1113"/>
      <c r="B238" s="1113"/>
      <c r="C238" s="708"/>
      <c r="D238" s="709"/>
      <c r="E238" s="709"/>
      <c r="F238" s="709"/>
      <c r="G238" s="709"/>
      <c r="H238" s="709"/>
      <c r="I238" s="709"/>
      <c r="J238" s="709"/>
      <c r="K238" s="709"/>
      <c r="L238" s="709"/>
      <c r="M238" s="710"/>
      <c r="N238" s="709"/>
      <c r="O238" s="680">
        <f t="shared" ref="O238:O239" si="99">SUM(C238:N238)</f>
        <v>0</v>
      </c>
      <c r="P238" s="681"/>
      <c r="Q238" s="681"/>
      <c r="R238" s="681"/>
      <c r="S238" s="681"/>
      <c r="T238" s="681"/>
      <c r="U238" s="682"/>
    </row>
    <row r="239" spans="1:21">
      <c r="B239" s="663"/>
      <c r="C239" s="664">
        <f t="shared" ref="C239:N239" si="100">SUM(C207:C238)</f>
        <v>334889548.29000002</v>
      </c>
      <c r="D239" s="664">
        <f t="shared" si="100"/>
        <v>218167647.94</v>
      </c>
      <c r="E239" s="664">
        <f t="shared" si="100"/>
        <v>477979742.81999999</v>
      </c>
      <c r="F239" s="664">
        <f t="shared" si="100"/>
        <v>463545136.02999997</v>
      </c>
      <c r="G239" s="664">
        <f t="shared" si="100"/>
        <v>403726372.33999997</v>
      </c>
      <c r="H239" s="664">
        <f t="shared" ref="H239:M239" si="101">SUM(H207:H233)</f>
        <v>722524823.5</v>
      </c>
      <c r="I239" s="664">
        <f t="shared" si="101"/>
        <v>3446806475.5499997</v>
      </c>
      <c r="J239" s="664">
        <f t="shared" si="101"/>
        <v>468808677.59999996</v>
      </c>
      <c r="K239" s="664">
        <f t="shared" si="101"/>
        <v>1408149071.6600001</v>
      </c>
      <c r="L239" s="664">
        <f t="shared" si="101"/>
        <v>422233011.80999994</v>
      </c>
      <c r="M239" s="664">
        <f t="shared" si="101"/>
        <v>612608392.7700001</v>
      </c>
      <c r="N239" s="664">
        <f t="shared" si="100"/>
        <v>734606199.14999998</v>
      </c>
      <c r="O239" s="680">
        <f t="shared" si="99"/>
        <v>9714045099.4599991</v>
      </c>
      <c r="P239" s="681"/>
      <c r="Q239" s="681"/>
      <c r="R239" s="681"/>
      <c r="S239" s="681"/>
      <c r="T239" s="681"/>
      <c r="U239" s="682"/>
    </row>
    <row r="240" spans="1:21">
      <c r="B240" s="663"/>
      <c r="C240" s="664">
        <f>+C239-334889548.29</f>
        <v>0</v>
      </c>
      <c r="D240" s="664">
        <f>+D239-218167647.94</f>
        <v>0</v>
      </c>
      <c r="E240" s="664">
        <f>+E239-477979742.82</f>
        <v>0</v>
      </c>
      <c r="F240" s="664">
        <f>+F239-463545136.03</f>
        <v>0</v>
      </c>
      <c r="G240" s="664">
        <f>+G239-403726372.34</f>
        <v>0</v>
      </c>
      <c r="H240" s="664">
        <f>+H239-942893626.85+H234</f>
        <v>-4148592.6900000274</v>
      </c>
      <c r="I240" s="664">
        <f>+I239-3446806475.55</f>
        <v>0</v>
      </c>
      <c r="J240" s="664">
        <f>+J239-476346209.75+J234</f>
        <v>-3.6321580410003662E-8</v>
      </c>
      <c r="K240" s="664">
        <f>+K239-1408149071.66</f>
        <v>0</v>
      </c>
      <c r="L240" s="664">
        <f>+L239-463632800.96-750000+L234</f>
        <v>0</v>
      </c>
      <c r="M240" s="691">
        <f>+M239-612608392.77</f>
        <v>0</v>
      </c>
      <c r="N240" s="664">
        <f>+N239-734606199.15</f>
        <v>0</v>
      </c>
      <c r="O240" s="680">
        <f t="shared" ref="O240" si="102">SUM(C240:K240)</f>
        <v>-4148592.6900000637</v>
      </c>
      <c r="P240" s="681"/>
      <c r="Q240" s="681"/>
      <c r="R240" s="681"/>
      <c r="S240" s="681"/>
      <c r="T240" s="681"/>
      <c r="U240" s="682"/>
    </row>
    <row r="241" spans="1:25" s="716" customFormat="1">
      <c r="A241" s="711"/>
      <c r="B241" s="712"/>
      <c r="C241" s="713">
        <f t="shared" ref="C241:N241" si="103">+C204-C239</f>
        <v>99164316.530000031</v>
      </c>
      <c r="D241" s="713">
        <f t="shared" si="103"/>
        <v>78551677.329999983</v>
      </c>
      <c r="E241" s="713">
        <f t="shared" si="103"/>
        <v>-69999391.49000001</v>
      </c>
      <c r="F241" s="713">
        <f t="shared" si="103"/>
        <v>111593715.00999999</v>
      </c>
      <c r="G241" s="713">
        <f t="shared" si="103"/>
        <v>35527094.379999995</v>
      </c>
      <c r="H241" s="713">
        <f t="shared" si="103"/>
        <v>545936109.97000003</v>
      </c>
      <c r="I241" s="713">
        <f t="shared" si="103"/>
        <v>-1646169605.6118178</v>
      </c>
      <c r="J241" s="713">
        <f t="shared" si="103"/>
        <v>105696928.42000002</v>
      </c>
      <c r="K241" s="713">
        <f t="shared" si="103"/>
        <v>-555047108.73000014</v>
      </c>
      <c r="L241" s="713">
        <f t="shared" si="103"/>
        <v>41374137.230000019</v>
      </c>
      <c r="M241" s="714">
        <f t="shared" si="103"/>
        <v>36268254.5200001</v>
      </c>
      <c r="N241" s="713">
        <f t="shared" si="103"/>
        <v>356312324.7700001</v>
      </c>
      <c r="O241" s="680">
        <f>SUM(C241:N241)</f>
        <v>-860791547.67181766</v>
      </c>
      <c r="P241" s="681"/>
      <c r="Q241" s="681"/>
      <c r="R241" s="681"/>
      <c r="S241" s="681"/>
      <c r="T241" s="681"/>
      <c r="U241" s="682"/>
      <c r="V241" s="715"/>
      <c r="W241" s="715"/>
      <c r="X241" s="715"/>
      <c r="Y241" s="715"/>
    </row>
    <row r="242" spans="1:25">
      <c r="B242" s="663"/>
      <c r="C242" s="664">
        <v>99164316.530000001</v>
      </c>
      <c r="D242" s="664">
        <v>78551677.329999998</v>
      </c>
      <c r="E242" s="664">
        <v>-69999391.489999995</v>
      </c>
      <c r="F242" s="664">
        <v>111593715.01000001</v>
      </c>
      <c r="G242" s="664">
        <v>35527094.380000003</v>
      </c>
      <c r="H242" s="664">
        <v>557936109.97000003</v>
      </c>
      <c r="I242" s="664">
        <v>-1646169605.6099999</v>
      </c>
      <c r="J242" s="664">
        <v>105696928.42</v>
      </c>
      <c r="K242" s="664">
        <v>-555047108.73000002</v>
      </c>
      <c r="L242" s="664">
        <v>41374137.229999997</v>
      </c>
      <c r="M242" s="691">
        <v>36268254.520000003</v>
      </c>
      <c r="N242" s="664">
        <f>354605897.01+1706427.76</f>
        <v>356312324.76999998</v>
      </c>
      <c r="O242" s="664">
        <f>SUM(C242:L242)</f>
        <v>-1241372126.96</v>
      </c>
      <c r="P242" s="664"/>
      <c r="Q242" s="664"/>
      <c r="R242" s="664"/>
      <c r="S242" s="664"/>
      <c r="T242" s="664"/>
    </row>
    <row r="243" spans="1:25" s="590" customFormat="1" ht="10.199999999999999">
      <c r="B243" s="663"/>
      <c r="C243" s="664">
        <f t="shared" ref="C243:J243" si="104">+C242-C241</f>
        <v>0</v>
      </c>
      <c r="D243" s="664">
        <f t="shared" si="104"/>
        <v>0</v>
      </c>
      <c r="E243" s="664">
        <f t="shared" si="104"/>
        <v>0</v>
      </c>
      <c r="F243" s="664">
        <f t="shared" si="104"/>
        <v>0</v>
      </c>
      <c r="G243" s="664">
        <f t="shared" si="104"/>
        <v>0</v>
      </c>
      <c r="H243" s="664">
        <f t="shared" si="104"/>
        <v>12000000</v>
      </c>
      <c r="I243" s="664">
        <f t="shared" si="104"/>
        <v>1.8179416656494141E-3</v>
      </c>
      <c r="J243" s="664">
        <f t="shared" si="104"/>
        <v>0</v>
      </c>
      <c r="K243" s="664">
        <f>+K242-K241</f>
        <v>0</v>
      </c>
      <c r="L243" s="664">
        <f>+L242-L241</f>
        <v>0</v>
      </c>
      <c r="M243" s="691">
        <f>+M242-M241</f>
        <v>-9.6857547760009766E-8</v>
      </c>
      <c r="N243" s="664">
        <f>+N242-N241</f>
        <v>0</v>
      </c>
      <c r="O243" s="664">
        <f>+O242-O241</f>
        <v>-380580579.28818238</v>
      </c>
      <c r="P243" s="664"/>
      <c r="Q243" s="664"/>
      <c r="R243" s="664"/>
      <c r="S243" s="664"/>
      <c r="T243" s="664"/>
      <c r="U243" s="595"/>
      <c r="V243" s="595"/>
      <c r="W243" s="595"/>
      <c r="X243" s="595"/>
      <c r="Y243" s="595"/>
    </row>
    <row r="244" spans="1:25" s="590" customFormat="1" ht="10.199999999999999">
      <c r="B244" s="663"/>
      <c r="C244" s="664"/>
      <c r="D244" s="664"/>
      <c r="E244" s="664"/>
      <c r="F244" s="664"/>
      <c r="G244" s="664"/>
      <c r="H244" s="664"/>
      <c r="I244" s="664"/>
      <c r="J244" s="664"/>
      <c r="K244" s="664"/>
      <c r="L244" s="664"/>
      <c r="M244" s="691"/>
      <c r="N244" s="664"/>
      <c r="O244" s="664"/>
      <c r="P244" s="664"/>
      <c r="Q244" s="664"/>
      <c r="R244" s="664"/>
      <c r="S244" s="664"/>
      <c r="T244" s="664"/>
      <c r="U244" s="595"/>
      <c r="V244" s="595"/>
      <c r="W244" s="595"/>
      <c r="X244" s="595"/>
      <c r="Y244" s="595"/>
    </row>
    <row r="245" spans="1:25" s="590" customFormat="1" ht="10.199999999999999">
      <c r="B245" s="663"/>
      <c r="C245" s="664"/>
      <c r="D245" s="664"/>
      <c r="E245" s="664"/>
      <c r="F245" s="664"/>
      <c r="G245" s="664"/>
      <c r="H245" s="664"/>
      <c r="I245" s="664"/>
      <c r="J245" s="664"/>
      <c r="K245" s="664"/>
      <c r="L245" s="664"/>
      <c r="M245" s="691"/>
      <c r="N245" s="664"/>
      <c r="O245" s="664"/>
      <c r="P245" s="664"/>
      <c r="Q245" s="664"/>
      <c r="R245" s="664"/>
      <c r="S245" s="664"/>
      <c r="T245" s="664"/>
      <c r="U245" s="595"/>
      <c r="V245" s="595"/>
      <c r="W245" s="595"/>
      <c r="X245" s="595"/>
      <c r="Y245" s="595"/>
    </row>
    <row r="246" spans="1:25" s="752" customFormat="1" ht="10.199999999999999">
      <c r="B246" s="753"/>
      <c r="C246" s="754">
        <f>+C185+C241</f>
        <v>1315380126.3699996</v>
      </c>
      <c r="D246" s="754">
        <f>+D185+D241</f>
        <v>1419330462.2199998</v>
      </c>
      <c r="E246" s="754">
        <f t="shared" ref="E246:O246" si="105">+E241-E185</f>
        <v>-1413738399.28</v>
      </c>
      <c r="F246" s="754">
        <f t="shared" si="105"/>
        <v>-1479460858.2</v>
      </c>
      <c r="G246" s="754">
        <f t="shared" si="105"/>
        <v>-1776464748.8372726</v>
      </c>
      <c r="H246" s="754">
        <f t="shared" si="105"/>
        <v>-1510556605.6272733</v>
      </c>
      <c r="I246" s="754">
        <f t="shared" si="105"/>
        <v>-3967651907.221818</v>
      </c>
      <c r="J246" s="754">
        <f t="shared" si="105"/>
        <v>-2957740739.9299998</v>
      </c>
      <c r="K246" s="754">
        <f t="shared" si="105"/>
        <v>-3523618087.8800001</v>
      </c>
      <c r="L246" s="754">
        <f t="shared" si="105"/>
        <v>-2277659805.1799998</v>
      </c>
      <c r="M246" s="755">
        <f t="shared" si="105"/>
        <v>-2170051256.4799995</v>
      </c>
      <c r="N246" s="754">
        <f t="shared" si="105"/>
        <v>-1943620710.0899997</v>
      </c>
      <c r="O246" s="754">
        <f t="shared" si="105"/>
        <v>-19194087689.356365</v>
      </c>
      <c r="P246" s="664"/>
      <c r="Q246" s="664"/>
      <c r="R246" s="664"/>
      <c r="S246" s="664"/>
      <c r="T246" s="664"/>
      <c r="U246" s="595"/>
      <c r="V246" s="756"/>
      <c r="W246" s="756"/>
      <c r="X246" s="756"/>
      <c r="Y246" s="756"/>
    </row>
    <row r="247" spans="1:25" s="752" customFormat="1" ht="10.199999999999999">
      <c r="B247" s="753"/>
      <c r="C247" s="754">
        <f>+C242+C188</f>
        <v>1315380126.3700001</v>
      </c>
      <c r="D247" s="754">
        <f>+D242+D188</f>
        <v>1419330462.22</v>
      </c>
      <c r="E247" s="754">
        <f>431003337.3+912735670.49+69999391.49</f>
        <v>1413738399.28</v>
      </c>
      <c r="F247" s="754">
        <f>+F188-111593715.01</f>
        <v>1479460858.2</v>
      </c>
      <c r="G247" s="754">
        <f>553191536.24+1258800306.98-35527094.38</f>
        <v>1776464748.8399999</v>
      </c>
      <c r="H247" s="754">
        <f t="shared" ref="H247:N247" si="106">+H188-H242</f>
        <v>1498556605.6299999</v>
      </c>
      <c r="I247" s="754">
        <f t="shared" si="106"/>
        <v>3967651907.2200003</v>
      </c>
      <c r="J247" s="754">
        <f t="shared" si="106"/>
        <v>2957740739.9300003</v>
      </c>
      <c r="K247" s="754">
        <f t="shared" si="106"/>
        <v>3523618087.8800001</v>
      </c>
      <c r="L247" s="754">
        <f t="shared" si="106"/>
        <v>2277659805.1799998</v>
      </c>
      <c r="M247" s="755">
        <f t="shared" si="106"/>
        <v>2170051256.48</v>
      </c>
      <c r="N247" s="754">
        <f t="shared" si="106"/>
        <v>1943620710.0900002</v>
      </c>
      <c r="O247" s="754">
        <f>+O188-O242</f>
        <v>25780422298.890003</v>
      </c>
      <c r="P247" s="664"/>
      <c r="Q247" s="664"/>
      <c r="R247" s="664"/>
      <c r="S247" s="664"/>
      <c r="T247" s="664"/>
      <c r="U247" s="595"/>
      <c r="V247" s="756"/>
      <c r="W247" s="756"/>
      <c r="X247" s="756"/>
      <c r="Y247" s="756"/>
    </row>
    <row r="248" spans="1:25" s="752" customFormat="1" ht="10.199999999999999">
      <c r="B248" s="753"/>
      <c r="C248" s="754">
        <f>+C246-C247</f>
        <v>0</v>
      </c>
      <c r="D248" s="754">
        <f>+D246-D247</f>
        <v>0</v>
      </c>
      <c r="E248" s="754">
        <f t="shared" ref="E248:J248" si="107">+E247+E246</f>
        <v>0</v>
      </c>
      <c r="F248" s="754">
        <f t="shared" si="107"/>
        <v>0</v>
      </c>
      <c r="G248" s="754">
        <f t="shared" si="107"/>
        <v>2.7272701263427734E-3</v>
      </c>
      <c r="H248" s="754">
        <f t="shared" si="107"/>
        <v>-11999999.997273445</v>
      </c>
      <c r="I248" s="754">
        <f t="shared" si="107"/>
        <v>-1.8177032470703125E-3</v>
      </c>
      <c r="J248" s="754">
        <f t="shared" si="107"/>
        <v>0</v>
      </c>
      <c r="K248" s="754">
        <f>+K247+K246</f>
        <v>0</v>
      </c>
      <c r="L248" s="754">
        <f>+L247+L246</f>
        <v>0</v>
      </c>
      <c r="M248" s="755">
        <f>+M247+M246</f>
        <v>0</v>
      </c>
      <c r="N248" s="754">
        <f>+N246+N247</f>
        <v>0</v>
      </c>
      <c r="O248" s="754">
        <f>+O246+O247</f>
        <v>6586334609.533638</v>
      </c>
      <c r="P248" s="664"/>
      <c r="Q248" s="664"/>
      <c r="R248" s="664"/>
      <c r="S248" s="664"/>
      <c r="T248" s="664"/>
      <c r="U248" s="595"/>
      <c r="V248" s="756"/>
      <c r="W248" s="756"/>
      <c r="X248" s="756"/>
      <c r="Y248" s="756"/>
    </row>
    <row r="249" spans="1:25" s="752" customFormat="1" ht="10.199999999999999">
      <c r="B249" s="753"/>
      <c r="C249" s="754"/>
      <c r="D249" s="754"/>
      <c r="E249" s="754"/>
      <c r="F249" s="754"/>
      <c r="G249" s="754"/>
      <c r="H249" s="754"/>
      <c r="I249" s="754"/>
      <c r="J249" s="754"/>
      <c r="K249" s="754"/>
      <c r="L249" s="754"/>
      <c r="M249" s="755"/>
      <c r="N249" s="754"/>
      <c r="O249" s="754"/>
      <c r="P249" s="664"/>
      <c r="Q249" s="664"/>
      <c r="R249" s="664"/>
      <c r="S249" s="664"/>
      <c r="T249" s="664"/>
      <c r="U249" s="595"/>
      <c r="V249" s="756"/>
      <c r="W249" s="756"/>
      <c r="X249" s="756"/>
      <c r="Y249" s="756"/>
    </row>
    <row r="250" spans="1:25" s="590" customFormat="1" ht="10.199999999999999">
      <c r="B250" s="663"/>
      <c r="C250" s="664"/>
      <c r="D250" s="664"/>
      <c r="E250" s="664"/>
      <c r="F250" s="664"/>
      <c r="G250" s="664"/>
      <c r="H250" s="664"/>
      <c r="I250" s="664"/>
      <c r="J250" s="664"/>
      <c r="K250" s="664"/>
      <c r="L250" s="664"/>
      <c r="M250" s="691"/>
      <c r="N250" s="664"/>
      <c r="O250" s="664"/>
      <c r="P250" s="664"/>
      <c r="Q250" s="664"/>
      <c r="R250" s="664"/>
      <c r="S250" s="664"/>
      <c r="T250" s="664"/>
      <c r="U250" s="595"/>
      <c r="V250" s="595"/>
      <c r="W250" s="595"/>
      <c r="X250" s="595"/>
      <c r="Y250" s="595"/>
    </row>
    <row r="251" spans="1:25" s="757" customFormat="1" ht="10.199999999999999">
      <c r="B251" s="758" t="s">
        <v>1193</v>
      </c>
      <c r="C251" s="759">
        <f>+C207+C208+C211+C219+C221+C222+C224+C150+C218+C220+C215+C216+C214</f>
        <v>276708807.04000002</v>
      </c>
      <c r="D251" s="759">
        <f t="shared" ref="D251:O251" si="108">+D207+D208+D211+D219+D221+D222+D224+D150+D218+D220+D215+D216+D214</f>
        <v>168610832.38</v>
      </c>
      <c r="E251" s="759">
        <f t="shared" si="108"/>
        <v>307759791.94</v>
      </c>
      <c r="F251" s="759">
        <f t="shared" si="108"/>
        <v>383330724.45999998</v>
      </c>
      <c r="G251" s="759">
        <f t="shared" si="108"/>
        <v>362148782.38999999</v>
      </c>
      <c r="H251" s="759">
        <f t="shared" si="108"/>
        <v>608807619.30999994</v>
      </c>
      <c r="I251" s="759">
        <f t="shared" si="108"/>
        <v>3350028146.6399999</v>
      </c>
      <c r="J251" s="759">
        <f t="shared" si="108"/>
        <v>406213119.73999995</v>
      </c>
      <c r="K251" s="759">
        <f t="shared" si="108"/>
        <v>826827803.04999995</v>
      </c>
      <c r="L251" s="759">
        <f>+L207+L208+L211+L219+L221+L222+L224+L150+L218+L220+L215+L216+L214</f>
        <v>332284019.72999996</v>
      </c>
      <c r="M251" s="760">
        <f t="shared" si="108"/>
        <v>430378136.25</v>
      </c>
      <c r="N251" s="759">
        <f t="shared" si="108"/>
        <v>322841045.24999994</v>
      </c>
      <c r="O251" s="759">
        <f t="shared" si="108"/>
        <v>7775938828.1799994</v>
      </c>
      <c r="P251" s="664"/>
      <c r="Q251" s="664"/>
      <c r="R251" s="664"/>
      <c r="S251" s="664"/>
      <c r="T251" s="664"/>
      <c r="U251" s="595"/>
      <c r="V251" s="741"/>
      <c r="W251" s="741"/>
      <c r="X251" s="741"/>
      <c r="Y251" s="741"/>
    </row>
    <row r="252" spans="1:25" s="590" customFormat="1" ht="10.199999999999999">
      <c r="B252" s="663"/>
      <c r="C252" s="664">
        <f>+'[9]TAX-2017'!C22</f>
        <v>276867854.76999998</v>
      </c>
      <c r="D252" s="664">
        <f>+'[9]TAX-2017'!D22</f>
        <v>168610832.38</v>
      </c>
      <c r="E252" s="664">
        <f>+'[9]TAX-2017'!E22</f>
        <v>323283196.88999999</v>
      </c>
      <c r="F252" s="664">
        <f>+'[9]TAX-2017'!F22</f>
        <v>387492224.45999992</v>
      </c>
      <c r="G252" s="664">
        <f>+'[9]TAX-2017'!G22</f>
        <v>362148782.38999999</v>
      </c>
      <c r="H252" s="664">
        <f>+'[9]TAX-2017'!H22</f>
        <v>620807619.30999994</v>
      </c>
      <c r="I252" s="664">
        <f>+'[9]TAX-2017'!I22</f>
        <v>3350028146.6399999</v>
      </c>
      <c r="J252" s="664">
        <f>+'[9]TAX-2017'!J22</f>
        <v>411489436.81999999</v>
      </c>
      <c r="K252" s="664">
        <f>+'[9]TAX-2017'!K22</f>
        <v>830922838.62167573</v>
      </c>
      <c r="L252" s="664">
        <f>+'[9]TAX-2017'!L22</f>
        <v>333544430.81</v>
      </c>
      <c r="M252" s="691">
        <f>+'[9]TAX-2017'!M22</f>
        <v>435654453.32999998</v>
      </c>
      <c r="N252" s="664">
        <f>+'[9]TAX-2017'!N22</f>
        <v>452105523.72999996</v>
      </c>
      <c r="O252" s="664">
        <f>+'[9]TAX-2017'!O22</f>
        <v>7952955340.1516771</v>
      </c>
      <c r="P252" s="664"/>
      <c r="Q252" s="664"/>
      <c r="R252" s="664"/>
      <c r="S252" s="664"/>
      <c r="T252" s="664"/>
      <c r="U252" s="595"/>
      <c r="V252" s="595"/>
      <c r="W252" s="595"/>
      <c r="X252" s="595"/>
      <c r="Y252" s="595"/>
    </row>
    <row r="253" spans="1:25" s="590" customFormat="1" ht="10.199999999999999">
      <c r="B253" s="663" t="s">
        <v>1194</v>
      </c>
      <c r="C253" s="664">
        <f t="shared" ref="C253:O253" si="109">+C252-C251</f>
        <v>159047.72999995947</v>
      </c>
      <c r="D253" s="664">
        <f t="shared" si="109"/>
        <v>0</v>
      </c>
      <c r="E253" s="664">
        <f t="shared" si="109"/>
        <v>15523404.949999988</v>
      </c>
      <c r="F253" s="664">
        <f t="shared" si="109"/>
        <v>4161499.9999999404</v>
      </c>
      <c r="G253" s="664">
        <f t="shared" si="109"/>
        <v>0</v>
      </c>
      <c r="H253" s="630">
        <f t="shared" si="109"/>
        <v>12000000</v>
      </c>
      <c r="I253" s="630">
        <f t="shared" si="109"/>
        <v>0</v>
      </c>
      <c r="J253" s="630">
        <f t="shared" si="109"/>
        <v>5276317.0800000429</v>
      </c>
      <c r="K253" s="630">
        <f t="shared" si="109"/>
        <v>4095035.5716757774</v>
      </c>
      <c r="L253" s="630">
        <f t="shared" si="109"/>
        <v>1260411.0800000429</v>
      </c>
      <c r="M253" s="761">
        <f t="shared" si="109"/>
        <v>5276317.0799999833</v>
      </c>
      <c r="N253" s="630">
        <f t="shared" si="109"/>
        <v>129264478.48000002</v>
      </c>
      <c r="O253" s="664">
        <f t="shared" si="109"/>
        <v>177016511.97167778</v>
      </c>
      <c r="P253" s="630"/>
      <c r="Q253" s="630"/>
      <c r="R253" s="630"/>
      <c r="S253" s="630"/>
      <c r="T253" s="630"/>
      <c r="U253" s="626"/>
      <c r="V253" s="595"/>
      <c r="W253" s="595"/>
      <c r="X253" s="595"/>
      <c r="Y253" s="595"/>
    </row>
    <row r="254" spans="1:25" s="590" customFormat="1" ht="10.199999999999999">
      <c r="A254" s="711"/>
      <c r="B254" s="712" t="s">
        <v>1195</v>
      </c>
      <c r="C254" s="713">
        <f>+'[9]TAX-2017'!C20+'[9]TAX-2017'!C21</f>
        <v>0</v>
      </c>
      <c r="D254" s="713">
        <f>+'[9]TAX-2017'!D20+'[9]TAX-2017'!D21</f>
        <v>0</v>
      </c>
      <c r="E254" s="713">
        <f>+'[9]TAX-2017'!E20+'[9]TAX-2017'!E21</f>
        <v>0</v>
      </c>
      <c r="F254" s="713">
        <f>+'[9]TAX-2017'!F20+'[9]TAX-2017'!F21</f>
        <v>0</v>
      </c>
      <c r="G254" s="713">
        <f>+'[9]TAX-2017'!G20+'[9]TAX-2017'!G21</f>
        <v>0</v>
      </c>
      <c r="H254" s="713">
        <f>+'[9]TAX-2017'!H20+'[9]TAX-2017'!H21</f>
        <v>0</v>
      </c>
      <c r="I254" s="713">
        <f>+'[9]TAX-2017'!I20+'[9]TAX-2017'!I21</f>
        <v>0</v>
      </c>
      <c r="J254" s="713">
        <f>+'[9]TAX-2017'!J20+'[9]TAX-2017'!J21</f>
        <v>5276317.08</v>
      </c>
      <c r="K254" s="713">
        <f>+'[9]TAX-2017'!K20+'[9]TAX-2017'!K21</f>
        <v>4095035.5716757397</v>
      </c>
      <c r="L254" s="713">
        <f>+'[9]TAX-2017'!L20+'[9]TAX-2017'!L21</f>
        <v>1260411.0799999998</v>
      </c>
      <c r="M254" s="714">
        <f>+'[9]TAX-2017'!M20+'[9]TAX-2017'!M21</f>
        <v>5276317.08</v>
      </c>
      <c r="N254" s="713">
        <f>+'[9]TAX-2017'!N20+'[9]TAX-2017'!N21</f>
        <v>129264478.48</v>
      </c>
      <c r="O254" s="713">
        <f>SUM(C254:L254)</f>
        <v>10631763.73167574</v>
      </c>
      <c r="P254" s="630"/>
      <c r="Q254" s="630"/>
      <c r="R254" s="630"/>
      <c r="S254" s="630"/>
      <c r="T254" s="630"/>
      <c r="U254" s="626"/>
      <c r="V254" s="595"/>
      <c r="W254" s="595"/>
      <c r="X254" s="595"/>
      <c r="Y254" s="595"/>
    </row>
    <row r="255" spans="1:25" s="590" customFormat="1" ht="10.199999999999999">
      <c r="B255" s="663"/>
      <c r="C255" s="664">
        <f>+C254-C253</f>
        <v>-159047.72999995947</v>
      </c>
      <c r="D255" s="664">
        <f t="shared" ref="D255:O255" si="110">+D254-D253</f>
        <v>0</v>
      </c>
      <c r="E255" s="664">
        <f t="shared" si="110"/>
        <v>-15523404.949999988</v>
      </c>
      <c r="F255" s="664">
        <f t="shared" si="110"/>
        <v>-4161499.9999999404</v>
      </c>
      <c r="G255" s="664">
        <f t="shared" si="110"/>
        <v>0</v>
      </c>
      <c r="H255" s="664">
        <f t="shared" si="110"/>
        <v>-12000000</v>
      </c>
      <c r="I255" s="664">
        <f t="shared" si="110"/>
        <v>0</v>
      </c>
      <c r="J255" s="664">
        <f t="shared" si="110"/>
        <v>-4.2840838432312012E-8</v>
      </c>
      <c r="K255" s="664">
        <f t="shared" si="110"/>
        <v>-3.771856427192688E-8</v>
      </c>
      <c r="L255" s="664">
        <f t="shared" si="110"/>
        <v>-4.3073669075965881E-8</v>
      </c>
      <c r="M255" s="691">
        <f t="shared" si="110"/>
        <v>1.6763806343078613E-8</v>
      </c>
      <c r="N255" s="664">
        <f t="shared" si="110"/>
        <v>0</v>
      </c>
      <c r="O255" s="664">
        <f t="shared" si="110"/>
        <v>-166384748.24000204</v>
      </c>
      <c r="P255" s="630"/>
      <c r="Q255" s="630"/>
      <c r="R255" s="630"/>
      <c r="S255" s="630"/>
      <c r="T255" s="630"/>
      <c r="U255" s="626"/>
      <c r="V255" s="595"/>
      <c r="W255" s="595"/>
      <c r="X255" s="595"/>
      <c r="Y255" s="595"/>
    </row>
    <row r="256" spans="1:25" s="590" customFormat="1" ht="10.199999999999999">
      <c r="B256" s="663"/>
      <c r="C256" s="664"/>
      <c r="D256" s="664"/>
      <c r="E256" s="664"/>
      <c r="F256" s="664"/>
      <c r="G256" s="664"/>
      <c r="H256" s="630"/>
      <c r="I256" s="630"/>
      <c r="J256" s="630"/>
      <c r="K256" s="630"/>
      <c r="L256" s="630"/>
      <c r="M256" s="761"/>
      <c r="N256" s="630"/>
      <c r="O256" s="630"/>
      <c r="P256" s="630"/>
      <c r="Q256" s="630"/>
      <c r="R256" s="630"/>
      <c r="S256" s="630"/>
      <c r="T256" s="630"/>
      <c r="U256" s="626"/>
      <c r="V256" s="595"/>
      <c r="W256" s="595"/>
      <c r="X256" s="595"/>
      <c r="Y256" s="595"/>
    </row>
    <row r="257" spans="2:25" s="590" customFormat="1" ht="10.199999999999999">
      <c r="B257" s="663"/>
      <c r="C257" s="664"/>
      <c r="D257" s="664"/>
      <c r="E257" s="664"/>
      <c r="F257" s="664"/>
      <c r="G257" s="664"/>
      <c r="H257" s="664"/>
      <c r="I257" s="664"/>
      <c r="J257" s="664"/>
      <c r="K257" s="664"/>
      <c r="L257" s="664"/>
      <c r="M257" s="691"/>
      <c r="N257" s="664"/>
      <c r="O257" s="664"/>
      <c r="P257" s="664"/>
      <c r="Q257" s="664"/>
      <c r="R257" s="664"/>
      <c r="S257" s="664"/>
      <c r="T257" s="664"/>
      <c r="U257" s="595"/>
      <c r="V257" s="595"/>
      <c r="W257" s="595"/>
      <c r="X257" s="595"/>
      <c r="Y257" s="595"/>
    </row>
    <row r="258" spans="2:25" s="590" customFormat="1" ht="10.199999999999999">
      <c r="B258" s="663" t="s">
        <v>1196</v>
      </c>
      <c r="C258" s="664">
        <f>+C210</f>
        <v>8240150.7999999998</v>
      </c>
      <c r="D258" s="664">
        <f t="shared" ref="D258:J258" si="111">+D210</f>
        <v>537936.31999999995</v>
      </c>
      <c r="E258" s="664">
        <f t="shared" si="111"/>
        <v>0</v>
      </c>
      <c r="F258" s="664">
        <f t="shared" si="111"/>
        <v>0</v>
      </c>
      <c r="G258" s="664">
        <f t="shared" si="111"/>
        <v>0</v>
      </c>
      <c r="H258" s="664">
        <f t="shared" si="111"/>
        <v>0</v>
      </c>
      <c r="I258" s="664">
        <f t="shared" si="111"/>
        <v>0</v>
      </c>
      <c r="J258" s="664">
        <f t="shared" si="111"/>
        <v>1962125.74</v>
      </c>
      <c r="K258" s="664">
        <f t="shared" ref="K258:N258" si="112">+K210-K198</f>
        <v>33694334.039999999</v>
      </c>
      <c r="L258" s="664">
        <f t="shared" si="112"/>
        <v>0</v>
      </c>
      <c r="M258" s="691">
        <f t="shared" si="112"/>
        <v>0</v>
      </c>
      <c r="N258" s="664">
        <f t="shared" si="112"/>
        <v>-17189908.780000001</v>
      </c>
      <c r="O258" s="664">
        <f>SUM(C258:N258)</f>
        <v>27244638.119999997</v>
      </c>
      <c r="P258" s="664"/>
      <c r="Q258" s="664"/>
      <c r="R258" s="664"/>
      <c r="S258" s="664"/>
      <c r="T258" s="664"/>
      <c r="U258" s="595"/>
      <c r="V258" s="595"/>
      <c r="W258" s="595"/>
      <c r="X258" s="595"/>
      <c r="Y258" s="595"/>
    </row>
    <row r="259" spans="2:25" s="590" customFormat="1" ht="10.199999999999999">
      <c r="B259" s="663" t="s">
        <v>1197</v>
      </c>
      <c r="C259" s="664">
        <f>+C198</f>
        <v>0</v>
      </c>
      <c r="D259" s="664">
        <f t="shared" ref="D259:J259" si="113">+D198</f>
        <v>0</v>
      </c>
      <c r="E259" s="664">
        <f t="shared" si="113"/>
        <v>0</v>
      </c>
      <c r="F259" s="664">
        <f t="shared" si="113"/>
        <v>158338.15</v>
      </c>
      <c r="G259" s="664">
        <f t="shared" si="113"/>
        <v>0</v>
      </c>
      <c r="H259" s="664">
        <f t="shared" si="113"/>
        <v>0</v>
      </c>
      <c r="I259" s="664">
        <f t="shared" si="113"/>
        <v>0</v>
      </c>
      <c r="J259" s="664">
        <f t="shared" si="113"/>
        <v>7272727.2699999996</v>
      </c>
      <c r="K259" s="664"/>
      <c r="L259" s="664"/>
      <c r="M259" s="691"/>
      <c r="N259" s="664"/>
      <c r="O259" s="664">
        <f>SUM(C259:N259)</f>
        <v>7431065.4199999999</v>
      </c>
      <c r="P259" s="664"/>
      <c r="Q259" s="664"/>
      <c r="R259" s="664"/>
      <c r="S259" s="664"/>
      <c r="T259" s="664"/>
      <c r="U259" s="595"/>
      <c r="V259" s="595"/>
      <c r="W259" s="595"/>
      <c r="X259" s="595"/>
      <c r="Y259" s="595"/>
    </row>
    <row r="260" spans="2:25" s="590" customFormat="1" ht="10.199999999999999">
      <c r="B260" s="663"/>
      <c r="C260" s="664"/>
      <c r="D260" s="664"/>
      <c r="E260" s="664"/>
      <c r="F260" s="664"/>
      <c r="G260" s="664"/>
      <c r="H260" s="664"/>
      <c r="I260" s="664"/>
      <c r="J260" s="664"/>
      <c r="K260" s="664"/>
      <c r="L260" s="664"/>
      <c r="M260" s="691"/>
      <c r="N260" s="664"/>
      <c r="O260" s="664">
        <f>+O258-O259</f>
        <v>19813572.699999996</v>
      </c>
      <c r="P260" s="664">
        <f>+O260-L258</f>
        <v>19813572.699999996</v>
      </c>
      <c r="Q260" s="664"/>
      <c r="R260" s="664"/>
      <c r="S260" s="664"/>
      <c r="T260" s="664"/>
      <c r="U260" s="595"/>
      <c r="V260" s="595"/>
      <c r="W260" s="595"/>
      <c r="X260" s="595"/>
      <c r="Y260" s="595"/>
    </row>
    <row r="261" spans="2:25" s="590" customFormat="1" ht="10.199999999999999">
      <c r="B261" s="663"/>
      <c r="C261" s="664"/>
      <c r="D261" s="664"/>
      <c r="E261" s="664"/>
      <c r="F261" s="664"/>
      <c r="G261" s="664"/>
      <c r="H261" s="664"/>
      <c r="I261" s="664"/>
      <c r="J261" s="664"/>
      <c r="K261" s="664"/>
      <c r="L261" s="664"/>
      <c r="M261" s="691"/>
      <c r="N261" s="664"/>
      <c r="O261" s="664">
        <v>-37003481.476363637</v>
      </c>
      <c r="P261" s="664"/>
      <c r="Q261" s="664"/>
      <c r="R261" s="664"/>
      <c r="S261" s="664"/>
      <c r="T261" s="664"/>
      <c r="U261" s="595"/>
      <c r="V261" s="595"/>
      <c r="W261" s="595"/>
      <c r="X261" s="595"/>
      <c r="Y261" s="595"/>
    </row>
    <row r="262" spans="2:25" s="590" customFormat="1" ht="10.199999999999999">
      <c r="B262" s="663"/>
      <c r="C262" s="664"/>
      <c r="D262" s="664"/>
      <c r="E262" s="664"/>
      <c r="F262" s="664"/>
      <c r="G262" s="664"/>
      <c r="H262" s="664"/>
      <c r="I262" s="664"/>
      <c r="J262" s="664"/>
      <c r="K262" s="664"/>
      <c r="L262" s="664"/>
      <c r="M262" s="691"/>
      <c r="N262" s="664"/>
      <c r="O262" s="664">
        <f>+O260+O261</f>
        <v>-17189908.776363641</v>
      </c>
      <c r="P262" s="664"/>
      <c r="Q262" s="664"/>
      <c r="R262" s="664"/>
      <c r="S262" s="664"/>
      <c r="T262" s="664"/>
      <c r="U262" s="595"/>
      <c r="V262" s="595"/>
      <c r="W262" s="595"/>
      <c r="X262" s="595"/>
      <c r="Y262" s="595"/>
    </row>
    <row r="263" spans="2:25" s="590" customFormat="1" ht="10.199999999999999">
      <c r="B263" s="663"/>
      <c r="C263" s="664"/>
      <c r="D263" s="664"/>
      <c r="E263" s="664"/>
      <c r="F263" s="664"/>
      <c r="G263" s="664"/>
      <c r="H263" s="664"/>
      <c r="I263" s="664"/>
      <c r="J263" s="664"/>
      <c r="K263" s="664"/>
      <c r="L263" s="664"/>
      <c r="M263" s="691"/>
      <c r="N263" s="664"/>
      <c r="O263" s="664"/>
      <c r="P263" s="664"/>
      <c r="Q263" s="664"/>
      <c r="R263" s="664"/>
      <c r="S263" s="664"/>
      <c r="T263" s="664"/>
      <c r="U263" s="595"/>
      <c r="V263" s="595"/>
      <c r="W263" s="595"/>
      <c r="X263" s="595"/>
      <c r="Y263" s="595"/>
    </row>
    <row r="264" spans="2:25" s="590" customFormat="1" ht="10.199999999999999">
      <c r="B264" s="663"/>
      <c r="C264" s="664"/>
      <c r="D264" s="664"/>
      <c r="E264" s="664"/>
      <c r="F264" s="664"/>
      <c r="G264" s="664"/>
      <c r="H264" s="664"/>
      <c r="I264" s="664"/>
      <c r="J264" s="664"/>
      <c r="K264" s="664"/>
      <c r="L264" s="664"/>
      <c r="M264" s="691"/>
      <c r="N264" s="664"/>
      <c r="O264" s="664"/>
      <c r="P264" s="664"/>
      <c r="Q264" s="664"/>
      <c r="R264" s="664"/>
      <c r="S264" s="664"/>
      <c r="T264" s="664"/>
      <c r="U264" s="595"/>
      <c r="V264" s="595"/>
      <c r="W264" s="595"/>
      <c r="X264" s="595"/>
      <c r="Y264" s="595"/>
    </row>
    <row r="265" spans="2:25" s="590" customFormat="1" ht="10.199999999999999">
      <c r="B265" s="663"/>
      <c r="C265" s="664"/>
      <c r="D265" s="664"/>
      <c r="E265" s="664"/>
      <c r="F265" s="664"/>
      <c r="G265" s="664"/>
      <c r="H265" s="664"/>
      <c r="I265" s="664"/>
      <c r="J265" s="664"/>
      <c r="K265" s="664"/>
      <c r="L265" s="664"/>
      <c r="M265" s="691"/>
      <c r="N265" s="664"/>
      <c r="O265" s="664"/>
      <c r="P265" s="664"/>
      <c r="Q265" s="664"/>
      <c r="R265" s="664"/>
      <c r="S265" s="664"/>
      <c r="T265" s="664"/>
      <c r="U265" s="595"/>
      <c r="V265" s="595"/>
      <c r="W265" s="595"/>
      <c r="X265" s="595"/>
      <c r="Y265" s="595"/>
    </row>
  </sheetData>
  <mergeCells count="79">
    <mergeCell ref="A236:B236"/>
    <mergeCell ref="A237:B237"/>
    <mergeCell ref="A238:B238"/>
    <mergeCell ref="A183:B183"/>
    <mergeCell ref="A195:B195"/>
    <mergeCell ref="A200:B200"/>
    <mergeCell ref="A201:B201"/>
    <mergeCell ref="A207:B207"/>
    <mergeCell ref="A199:B199"/>
    <mergeCell ref="A203:B203"/>
    <mergeCell ref="A208:B208"/>
    <mergeCell ref="A209:B209"/>
    <mergeCell ref="A196:B196"/>
    <mergeCell ref="A197:B197"/>
    <mergeCell ref="A164:B164"/>
    <mergeCell ref="A165:B165"/>
    <mergeCell ref="A166:B166"/>
    <mergeCell ref="A181:B181"/>
    <mergeCell ref="A182:B182"/>
    <mergeCell ref="A176:B176"/>
    <mergeCell ref="A177:B177"/>
    <mergeCell ref="A178:B178"/>
    <mergeCell ref="A179:B179"/>
    <mergeCell ref="A180:B180"/>
    <mergeCell ref="A175:B175"/>
    <mergeCell ref="A171:B171"/>
    <mergeCell ref="A172:B172"/>
    <mergeCell ref="A173:B173"/>
    <mergeCell ref="A174:B174"/>
    <mergeCell ref="A163:B163"/>
    <mergeCell ref="A155:B155"/>
    <mergeCell ref="A156:B156"/>
    <mergeCell ref="A157:B157"/>
    <mergeCell ref="A158:B158"/>
    <mergeCell ref="A159:B159"/>
    <mergeCell ref="A160:B160"/>
    <mergeCell ref="A161:B161"/>
    <mergeCell ref="A162:B162"/>
    <mergeCell ref="A150:B150"/>
    <mergeCell ref="A151:B151"/>
    <mergeCell ref="A147:B147"/>
    <mergeCell ref="A135:B135"/>
    <mergeCell ref="A136:B136"/>
    <mergeCell ref="A137:B137"/>
    <mergeCell ref="A138:B138"/>
    <mergeCell ref="A139:B139"/>
    <mergeCell ref="A140:B140"/>
    <mergeCell ref="A141:B141"/>
    <mergeCell ref="A142:B142"/>
    <mergeCell ref="A143:B143"/>
    <mergeCell ref="A144:B144"/>
    <mergeCell ref="A146:B146"/>
    <mergeCell ref="A131:B131"/>
    <mergeCell ref="A118:B118"/>
    <mergeCell ref="A108:B108"/>
    <mergeCell ref="A109:B109"/>
    <mergeCell ref="A110:B110"/>
    <mergeCell ref="A111:B111"/>
    <mergeCell ref="A112:B112"/>
    <mergeCell ref="A113:B113"/>
    <mergeCell ref="A114:B114"/>
    <mergeCell ref="A115:B115"/>
    <mergeCell ref="A116:B116"/>
    <mergeCell ref="A117:B117"/>
    <mergeCell ref="A124:B124"/>
    <mergeCell ref="A125:B125"/>
    <mergeCell ref="A126:B126"/>
    <mergeCell ref="A127:B127"/>
    <mergeCell ref="A7:A9"/>
    <mergeCell ref="B7:B9"/>
    <mergeCell ref="C7:N7"/>
    <mergeCell ref="O7:O8"/>
    <mergeCell ref="A130:B130"/>
    <mergeCell ref="A128:B128"/>
    <mergeCell ref="A119:B119"/>
    <mergeCell ref="A120:B120"/>
    <mergeCell ref="A121:B121"/>
    <mergeCell ref="A122:B122"/>
    <mergeCell ref="A123:B123"/>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144"/>
  <sheetViews>
    <sheetView topLeftCell="A40" workbookViewId="0">
      <selection activeCell="G43" activeCellId="1" sqref="B5:C5 G43"/>
    </sheetView>
  </sheetViews>
  <sheetFormatPr defaultColWidth="9.109375" defaultRowHeight="13.2"/>
  <cols>
    <col min="1" max="1" width="4" style="4" customWidth="1"/>
    <col min="2" max="2" width="9.109375" style="4"/>
    <col min="3" max="3" width="23" style="4" customWidth="1"/>
    <col min="4" max="4" width="16.44140625" style="4" customWidth="1"/>
    <col min="5" max="6" width="9.109375" style="4"/>
    <col min="7" max="7" width="18.44140625" style="4" customWidth="1"/>
    <col min="8" max="9" width="10.88671875" style="4" customWidth="1"/>
    <col min="10" max="10" width="17.6640625" style="381" bestFit="1" customWidth="1"/>
    <col min="11" max="11" width="16.6640625" style="381" bestFit="1" customWidth="1"/>
    <col min="12" max="12" width="14.33203125" style="381" bestFit="1" customWidth="1"/>
    <col min="13" max="13" width="15.109375" style="4" bestFit="1" customWidth="1"/>
    <col min="14" max="14" width="20" style="4" bestFit="1" customWidth="1"/>
    <col min="15" max="15" width="14.88671875" style="381" bestFit="1" customWidth="1"/>
    <col min="16" max="16" width="15.109375" style="4" bestFit="1" customWidth="1"/>
    <col min="17" max="16384" width="9.109375" style="4"/>
  </cols>
  <sheetData>
    <row r="1" spans="1:11">
      <c r="A1" s="20"/>
      <c r="B1" s="19"/>
      <c r="C1" s="19"/>
      <c r="D1" s="19"/>
      <c r="E1" s="19"/>
      <c r="F1" s="19"/>
      <c r="G1" s="19"/>
      <c r="H1" s="19"/>
      <c r="I1" s="19"/>
    </row>
    <row r="2" spans="1:11">
      <c r="A2" s="21" t="s">
        <v>363</v>
      </c>
      <c r="B2" s="22"/>
      <c r="C2" s="22"/>
      <c r="D2" s="22"/>
      <c r="E2" s="22"/>
      <c r="F2" s="22"/>
      <c r="G2" s="22"/>
      <c r="H2" s="22"/>
      <c r="I2" s="22"/>
    </row>
    <row r="3" spans="1:11">
      <c r="A3" s="54"/>
      <c r="B3" s="54"/>
      <c r="C3" s="19"/>
      <c r="D3" s="19"/>
      <c r="E3" s="19"/>
      <c r="F3" s="19"/>
      <c r="G3" s="19"/>
      <c r="H3" s="19"/>
      <c r="I3" s="19"/>
    </row>
    <row r="4" spans="1:11">
      <c r="A4" s="35" t="s">
        <v>79</v>
      </c>
      <c r="B4" s="1096" t="s">
        <v>5</v>
      </c>
      <c r="C4" s="1097"/>
      <c r="D4" s="1088" t="s">
        <v>364</v>
      </c>
      <c r="E4" s="1088"/>
      <c r="F4" s="1088"/>
      <c r="G4" s="1088" t="s">
        <v>365</v>
      </c>
      <c r="H4" s="1088"/>
      <c r="I4" s="1088"/>
    </row>
    <row r="5" spans="1:11">
      <c r="A5" s="339">
        <v>1</v>
      </c>
      <c r="B5" s="1117" t="s">
        <v>366</v>
      </c>
      <c r="C5" s="1118"/>
      <c r="D5" s="1090">
        <v>0</v>
      </c>
      <c r="E5" s="1090"/>
      <c r="F5" s="1090"/>
      <c r="G5" s="1090">
        <v>0</v>
      </c>
      <c r="H5" s="1090"/>
      <c r="I5" s="1090"/>
    </row>
    <row r="6" spans="1:11">
      <c r="A6" s="339">
        <v>1.1000000000000001</v>
      </c>
      <c r="B6" s="1119" t="s">
        <v>367</v>
      </c>
      <c r="C6" s="1120"/>
      <c r="D6" s="1090">
        <v>72779616708.809998</v>
      </c>
      <c r="E6" s="1090"/>
      <c r="F6" s="1090"/>
      <c r="G6" s="1090">
        <f>+Monthly!O11</f>
        <v>130754988459.23999</v>
      </c>
      <c r="H6" s="1090"/>
      <c r="I6" s="1090"/>
    </row>
    <row r="7" spans="1:11">
      <c r="A7" s="339">
        <v>1.2</v>
      </c>
      <c r="B7" s="1121" t="s">
        <v>368</v>
      </c>
      <c r="C7" s="1121"/>
      <c r="D7" s="1090"/>
      <c r="E7" s="1090"/>
      <c r="F7" s="1090"/>
      <c r="G7" s="1090"/>
      <c r="H7" s="1090"/>
      <c r="I7" s="1090"/>
    </row>
    <row r="8" spans="1:11">
      <c r="A8" s="339">
        <v>1.3</v>
      </c>
      <c r="B8" s="1089" t="s">
        <v>369</v>
      </c>
      <c r="C8" s="1089"/>
      <c r="D8" s="1090">
        <v>72779616708.809998</v>
      </c>
      <c r="E8" s="1090"/>
      <c r="F8" s="1090"/>
      <c r="G8" s="1090">
        <f>SUM(G6:I7)</f>
        <v>130754988459.23999</v>
      </c>
      <c r="H8" s="1090"/>
      <c r="I8" s="1090"/>
    </row>
    <row r="9" spans="1:11">
      <c r="A9" s="340">
        <v>2</v>
      </c>
      <c r="B9" s="1125" t="s">
        <v>370</v>
      </c>
      <c r="C9" s="1125"/>
      <c r="D9" s="1090">
        <v>1568756427.75</v>
      </c>
      <c r="E9" s="1090"/>
      <c r="F9" s="1090"/>
      <c r="G9" s="1090">
        <f>+Monthly!O12+Monthly!O13</f>
        <v>5135494123.71</v>
      </c>
      <c r="H9" s="1090"/>
      <c r="I9" s="1090"/>
    </row>
    <row r="10" spans="1:11">
      <c r="A10" s="340">
        <v>3</v>
      </c>
      <c r="B10" s="1124" t="s">
        <v>371</v>
      </c>
      <c r="C10" s="1124"/>
      <c r="D10" s="1090">
        <v>71210860281.059998</v>
      </c>
      <c r="E10" s="1090"/>
      <c r="F10" s="1090"/>
      <c r="G10" s="1090">
        <f>+G8-G9</f>
        <v>125619494335.52998</v>
      </c>
      <c r="H10" s="1090"/>
      <c r="I10" s="1090"/>
    </row>
    <row r="11" spans="1:11">
      <c r="A11" s="340">
        <v>4</v>
      </c>
      <c r="B11" s="1124" t="s">
        <v>372</v>
      </c>
      <c r="C11" s="1124"/>
      <c r="D11" s="1090"/>
      <c r="E11" s="1090"/>
      <c r="F11" s="1090"/>
      <c r="G11" s="1090"/>
      <c r="H11" s="1090"/>
      <c r="I11" s="1090"/>
    </row>
    <row r="12" spans="1:11">
      <c r="A12" s="339">
        <v>4.0999999999999996</v>
      </c>
      <c r="B12" s="1121" t="s">
        <v>373</v>
      </c>
      <c r="C12" s="1121"/>
      <c r="D12" s="1090">
        <v>43273032498.279999</v>
      </c>
      <c r="E12" s="1090"/>
      <c r="F12" s="1090"/>
      <c r="G12" s="1090">
        <f>+income!D8</f>
        <v>97766831001.219284</v>
      </c>
      <c r="H12" s="1090"/>
      <c r="I12" s="1090"/>
    </row>
    <row r="13" spans="1:11">
      <c r="A13" s="339">
        <v>4.2</v>
      </c>
      <c r="B13" s="1121" t="s">
        <v>374</v>
      </c>
      <c r="C13" s="1121"/>
      <c r="D13" s="1090"/>
      <c r="E13" s="1090"/>
      <c r="F13" s="1090"/>
      <c r="G13" s="1090"/>
      <c r="H13" s="1090"/>
      <c r="I13" s="1090"/>
    </row>
    <row r="14" spans="1:11">
      <c r="A14" s="340">
        <v>4.3</v>
      </c>
      <c r="B14" s="1124" t="s">
        <v>375</v>
      </c>
      <c r="C14" s="1124"/>
      <c r="D14" s="1091">
        <f>SUM(D12:F13)</f>
        <v>43273032498.279999</v>
      </c>
      <c r="E14" s="1091"/>
      <c r="F14" s="1091"/>
      <c r="G14" s="1091">
        <f>SUM(G12:I13)</f>
        <v>97766831001.219284</v>
      </c>
      <c r="H14" s="1091"/>
      <c r="I14" s="1091"/>
      <c r="J14" s="381">
        <f>+income!D8</f>
        <v>97766831001.219284</v>
      </c>
      <c r="K14" s="381">
        <f>+J14-G14</f>
        <v>0</v>
      </c>
    </row>
    <row r="15" spans="1:11">
      <c r="A15" s="341"/>
      <c r="B15" s="41"/>
      <c r="C15" s="41"/>
      <c r="D15" s="382"/>
      <c r="E15" s="382"/>
      <c r="F15" s="382"/>
      <c r="G15" s="382"/>
      <c r="H15" s="382"/>
      <c r="I15" s="382"/>
    </row>
    <row r="16" spans="1:11">
      <c r="A16" s="21" t="s">
        <v>376</v>
      </c>
      <c r="B16" s="22"/>
      <c r="C16" s="22"/>
      <c r="D16" s="22"/>
      <c r="E16" s="22"/>
      <c r="F16" s="22"/>
      <c r="G16" s="22"/>
      <c r="H16" s="22"/>
      <c r="I16" s="22"/>
    </row>
    <row r="17" spans="1:16">
      <c r="A17" s="42"/>
      <c r="B17" s="343"/>
      <c r="C17" s="343"/>
      <c r="D17" s="343"/>
      <c r="E17" s="343"/>
      <c r="F17" s="343"/>
      <c r="G17" s="343"/>
      <c r="H17" s="343"/>
      <c r="I17" s="343"/>
      <c r="N17" s="381">
        <v>6731976.5800000001</v>
      </c>
      <c r="O17" s="381" t="s">
        <v>231</v>
      </c>
    </row>
    <row r="18" spans="1:16" ht="13.8">
      <c r="A18" s="20"/>
      <c r="B18" s="56" t="s">
        <v>377</v>
      </c>
      <c r="C18" s="19"/>
      <c r="D18" s="19"/>
      <c r="E18" s="19"/>
      <c r="F18" s="19"/>
      <c r="G18" s="19"/>
      <c r="H18" s="19"/>
      <c r="I18" s="19"/>
      <c r="N18" s="381">
        <v>99673628.220004082</v>
      </c>
      <c r="O18" s="381" t="s">
        <v>1020</v>
      </c>
    </row>
    <row r="19" spans="1:16">
      <c r="A19" s="52"/>
      <c r="B19" s="345"/>
      <c r="C19" s="19"/>
      <c r="D19" s="19"/>
      <c r="E19" s="19"/>
      <c r="F19" s="19"/>
      <c r="G19" s="19"/>
      <c r="H19" s="19"/>
      <c r="I19" s="19"/>
      <c r="N19" s="381">
        <v>149060687.42000002</v>
      </c>
      <c r="O19" s="381" t="s">
        <v>1021</v>
      </c>
    </row>
    <row r="20" spans="1:16">
      <c r="A20" s="346" t="s">
        <v>79</v>
      </c>
      <c r="B20" s="1124" t="s">
        <v>378</v>
      </c>
      <c r="C20" s="1124"/>
      <c r="D20" s="1126" t="s">
        <v>379</v>
      </c>
      <c r="E20" s="1126"/>
      <c r="F20" s="1126"/>
      <c r="G20" s="1088" t="s">
        <v>380</v>
      </c>
      <c r="H20" s="1088"/>
      <c r="I20" s="1088"/>
      <c r="N20" s="381">
        <f>-85134984.76+700.2</f>
        <v>-85134284.560000002</v>
      </c>
      <c r="O20" s="381" t="s">
        <v>944</v>
      </c>
    </row>
    <row r="21" spans="1:16">
      <c r="A21" s="347">
        <v>1</v>
      </c>
      <c r="B21" s="1089" t="s">
        <v>381</v>
      </c>
      <c r="C21" s="1089"/>
      <c r="D21" s="1090">
        <v>1619431352.5</v>
      </c>
      <c r="E21" s="1090"/>
      <c r="F21" s="1090"/>
      <c r="G21" s="1090">
        <v>1619431352.5</v>
      </c>
      <c r="H21" s="1090"/>
      <c r="I21" s="1090"/>
      <c r="N21" s="381"/>
      <c r="P21" s="348"/>
    </row>
    <row r="22" spans="1:16">
      <c r="A22" s="347">
        <v>2</v>
      </c>
      <c r="B22" s="1089" t="s">
        <v>61</v>
      </c>
      <c r="C22" s="1089"/>
      <c r="D22" s="1090">
        <v>165914061.80000001</v>
      </c>
      <c r="E22" s="1090"/>
      <c r="F22" s="1090"/>
      <c r="G22" s="1090">
        <v>165914061.80000001</v>
      </c>
      <c r="H22" s="1090"/>
      <c r="I22" s="1090"/>
      <c r="N22" s="381"/>
      <c r="P22" s="348"/>
    </row>
    <row r="23" spans="1:16">
      <c r="A23" s="347">
        <v>3</v>
      </c>
      <c r="B23" s="1089" t="s">
        <v>65</v>
      </c>
      <c r="C23" s="1089"/>
      <c r="D23" s="1090">
        <v>86127323.840000004</v>
      </c>
      <c r="E23" s="1090"/>
      <c r="F23" s="1090"/>
      <c r="G23" s="1090">
        <f>+income!D14</f>
        <v>841754069.70340014</v>
      </c>
      <c r="H23" s="1090"/>
      <c r="I23" s="1090"/>
      <c r="N23" s="381"/>
    </row>
    <row r="24" spans="1:16">
      <c r="A24" s="1096" t="s">
        <v>309</v>
      </c>
      <c r="B24" s="1127"/>
      <c r="C24" s="1097"/>
      <c r="D24" s="1091">
        <f>SUM(D21:F23)</f>
        <v>1871472738.1399999</v>
      </c>
      <c r="E24" s="1091"/>
      <c r="F24" s="1091"/>
      <c r="G24" s="1091">
        <f>SUM(G21:I23)</f>
        <v>2627099484.0033998</v>
      </c>
      <c r="H24" s="1091"/>
      <c r="I24" s="1091"/>
      <c r="J24" s="381" t="e">
        <f>+income!D14+#REF!+#REF!</f>
        <v>#REF!</v>
      </c>
      <c r="K24" s="381" t="e">
        <f>+J24-G24</f>
        <v>#REF!</v>
      </c>
      <c r="N24" s="381"/>
    </row>
    <row r="25" spans="1:16">
      <c r="A25" s="20"/>
      <c r="B25" s="19"/>
      <c r="C25" s="19"/>
      <c r="D25" s="19"/>
      <c r="E25" s="19"/>
      <c r="F25" s="19"/>
      <c r="G25" s="19"/>
      <c r="H25" s="19"/>
      <c r="I25" s="19"/>
      <c r="N25" s="381"/>
    </row>
    <row r="26" spans="1:16" ht="13.8">
      <c r="A26" s="20"/>
      <c r="B26" s="56" t="s">
        <v>382</v>
      </c>
      <c r="C26" s="19"/>
      <c r="D26" s="19"/>
      <c r="E26" s="19"/>
      <c r="F26" s="19"/>
      <c r="G26" s="19"/>
      <c r="H26" s="19"/>
      <c r="I26" s="19"/>
      <c r="N26" s="381"/>
    </row>
    <row r="27" spans="1:16">
      <c r="A27" s="52"/>
      <c r="B27" s="345"/>
      <c r="C27" s="19"/>
      <c r="D27" s="19"/>
      <c r="E27" s="19"/>
      <c r="F27" s="19"/>
      <c r="G27" s="19"/>
      <c r="H27" s="19"/>
      <c r="I27" s="19"/>
    </row>
    <row r="28" spans="1:16">
      <c r="A28" s="346" t="s">
        <v>79</v>
      </c>
      <c r="B28" s="1088" t="s">
        <v>193</v>
      </c>
      <c r="C28" s="1088"/>
      <c r="D28" s="1088"/>
      <c r="E28" s="1088"/>
      <c r="F28" s="1088" t="s">
        <v>379</v>
      </c>
      <c r="G28" s="1088"/>
      <c r="H28" s="1088" t="s">
        <v>380</v>
      </c>
      <c r="I28" s="1088"/>
    </row>
    <row r="29" spans="1:16" s="213" customFormat="1" ht="21.75" customHeight="1">
      <c r="A29" s="58">
        <v>1</v>
      </c>
      <c r="B29" s="1128" t="s">
        <v>383</v>
      </c>
      <c r="C29" s="1128"/>
      <c r="D29" s="1128"/>
      <c r="E29" s="1128"/>
      <c r="F29" s="1027">
        <v>85134284.560000002</v>
      </c>
      <c r="G29" s="1027"/>
      <c r="H29" s="1011">
        <f>-N20</f>
        <v>85134284.560000002</v>
      </c>
      <c r="I29" s="1011"/>
      <c r="J29" s="214"/>
      <c r="K29" s="214"/>
      <c r="L29" s="214"/>
      <c r="O29" s="214"/>
    </row>
    <row r="30" spans="1:16" s="213" customFormat="1" ht="21.75" customHeight="1">
      <c r="A30" s="58">
        <v>2</v>
      </c>
      <c r="B30" s="1128" t="s">
        <v>384</v>
      </c>
      <c r="C30" s="1128"/>
      <c r="D30" s="1128"/>
      <c r="E30" s="1128"/>
      <c r="F30" s="1130">
        <v>-99673628.220004082</v>
      </c>
      <c r="G30" s="1130"/>
      <c r="H30" s="1131">
        <f>-N18</f>
        <v>-99673628.220004082</v>
      </c>
      <c r="I30" s="1131"/>
      <c r="J30" s="214"/>
      <c r="K30" s="214"/>
      <c r="L30" s="214"/>
      <c r="O30" s="214"/>
    </row>
    <row r="31" spans="1:16" s="213" customFormat="1" ht="21.75" customHeight="1">
      <c r="A31" s="58">
        <v>3</v>
      </c>
      <c r="B31" s="1128" t="s">
        <v>385</v>
      </c>
      <c r="C31" s="1128"/>
      <c r="D31" s="1128"/>
      <c r="E31" s="1128"/>
      <c r="F31" s="1027">
        <v>-128351806.94000001</v>
      </c>
      <c r="G31" s="1027"/>
      <c r="H31" s="1011">
        <f>-N19+20708880.48</f>
        <v>-128351806.94000001</v>
      </c>
      <c r="I31" s="1011"/>
      <c r="J31" s="214"/>
      <c r="K31" s="214"/>
      <c r="L31" s="214"/>
      <c r="O31" s="214"/>
    </row>
    <row r="32" spans="1:16" s="213" customFormat="1" ht="21.75" customHeight="1">
      <c r="A32" s="58">
        <v>4</v>
      </c>
      <c r="B32" s="1129" t="s">
        <v>386</v>
      </c>
      <c r="C32" s="1129"/>
      <c r="D32" s="1129"/>
      <c r="E32" s="1129"/>
      <c r="F32" s="1027">
        <v>-6731976.5800000001</v>
      </c>
      <c r="G32" s="1027"/>
      <c r="H32" s="1011">
        <f>-N17</f>
        <v>-6731976.5800000001</v>
      </c>
      <c r="I32" s="1011"/>
      <c r="J32" s="214"/>
      <c r="K32" s="214"/>
      <c r="L32" s="214"/>
      <c r="O32" s="214"/>
    </row>
    <row r="33" spans="1:16">
      <c r="A33" s="1088" t="s">
        <v>309</v>
      </c>
      <c r="B33" s="1088"/>
      <c r="C33" s="1088"/>
      <c r="D33" s="1088"/>
      <c r="E33" s="1088"/>
      <c r="F33" s="1091">
        <f>SUM(F29:G32)</f>
        <v>-149623127.18000409</v>
      </c>
      <c r="G33" s="1091"/>
      <c r="H33" s="1091">
        <f>SUM(H29:I32)</f>
        <v>-149623127.18000409</v>
      </c>
      <c r="I33" s="1091"/>
      <c r="J33" s="381">
        <f>+income!D19</f>
        <v>-4978855688.7033005</v>
      </c>
      <c r="K33" s="381">
        <f>+H33-J33</f>
        <v>4829232561.5232964</v>
      </c>
    </row>
    <row r="34" spans="1:16">
      <c r="A34" s="20"/>
      <c r="B34" s="19"/>
      <c r="C34" s="19"/>
      <c r="D34" s="19"/>
      <c r="E34" s="19"/>
      <c r="F34" s="19"/>
      <c r="G34" s="383"/>
      <c r="H34" s="383"/>
      <c r="I34" s="19"/>
    </row>
    <row r="35" spans="1:16">
      <c r="A35" s="21" t="s">
        <v>387</v>
      </c>
      <c r="B35" s="22"/>
      <c r="C35" s="22"/>
      <c r="D35" s="22"/>
      <c r="E35" s="22"/>
      <c r="F35" s="22"/>
      <c r="G35" s="22"/>
      <c r="H35" s="22"/>
      <c r="I35" s="22"/>
    </row>
    <row r="36" spans="1:16">
      <c r="A36" s="20"/>
      <c r="B36" s="19"/>
      <c r="C36" s="19"/>
      <c r="D36" s="19"/>
      <c r="E36" s="19"/>
      <c r="F36" s="19"/>
      <c r="G36" s="19"/>
      <c r="H36" s="19"/>
      <c r="I36" s="19"/>
    </row>
    <row r="37" spans="1:16" ht="13.8">
      <c r="A37" s="20"/>
      <c r="B37" s="56" t="s">
        <v>388</v>
      </c>
      <c r="C37" s="19"/>
      <c r="D37" s="19"/>
      <c r="E37" s="19"/>
      <c r="F37" s="19"/>
      <c r="G37" s="19"/>
      <c r="H37" s="19"/>
      <c r="I37" s="19"/>
    </row>
    <row r="38" spans="1:16" ht="13.8">
      <c r="A38" s="20"/>
      <c r="B38" s="56"/>
      <c r="C38" s="19"/>
      <c r="D38" s="19"/>
      <c r="E38" s="19"/>
      <c r="F38" s="19"/>
      <c r="G38" s="19"/>
      <c r="H38" s="19"/>
      <c r="I38" s="19"/>
    </row>
    <row r="39" spans="1:16">
      <c r="A39" s="1025" t="s">
        <v>192</v>
      </c>
      <c r="B39" s="1037" t="s">
        <v>389</v>
      </c>
      <c r="C39" s="1037"/>
      <c r="D39" s="1025" t="s">
        <v>379</v>
      </c>
      <c r="E39" s="1025"/>
      <c r="F39" s="1025"/>
      <c r="G39" s="1025" t="s">
        <v>380</v>
      </c>
      <c r="H39" s="1025"/>
      <c r="I39" s="1025"/>
    </row>
    <row r="40" spans="1:16">
      <c r="A40" s="1025"/>
      <c r="B40" s="1037"/>
      <c r="C40" s="1037"/>
      <c r="D40" s="35" t="s">
        <v>390</v>
      </c>
      <c r="E40" s="1002" t="s">
        <v>391</v>
      </c>
      <c r="F40" s="1004"/>
      <c r="G40" s="35" t="s">
        <v>390</v>
      </c>
      <c r="H40" s="1002" t="s">
        <v>391</v>
      </c>
      <c r="I40" s="1004"/>
      <c r="M40" s="4" t="s">
        <v>1198</v>
      </c>
    </row>
    <row r="41" spans="1:16">
      <c r="A41" s="350">
        <v>1</v>
      </c>
      <c r="B41" s="1129" t="s">
        <v>392</v>
      </c>
      <c r="C41" s="1129"/>
      <c r="D41" s="249">
        <v>2151127157.4500003</v>
      </c>
      <c r="E41" s="1122">
        <v>2162216421.6500001</v>
      </c>
      <c r="F41" s="1123"/>
      <c r="G41" s="763">
        <f>+M41-J41</f>
        <v>2777097712.460001</v>
      </c>
      <c r="H41" s="1090">
        <f>+J41</f>
        <v>2059073633.8199997</v>
      </c>
      <c r="I41" s="1090"/>
      <c r="J41" s="1122">
        <f>+Monthly!O135</f>
        <v>2059073633.8199997</v>
      </c>
      <c r="K41" s="1123"/>
      <c r="M41" s="249">
        <f>+Monthly!O24</f>
        <v>4836171346.2800007</v>
      </c>
      <c r="O41" s="381">
        <v>2015</v>
      </c>
    </row>
    <row r="42" spans="1:16">
      <c r="A42" s="350">
        <v>2</v>
      </c>
      <c r="B42" s="1129" t="s">
        <v>393</v>
      </c>
      <c r="C42" s="1129"/>
      <c r="D42" s="249"/>
      <c r="E42" s="1122">
        <v>0</v>
      </c>
      <c r="F42" s="1123"/>
      <c r="G42" s="763">
        <f t="shared" ref="G42:G63" si="0">+M42-J42</f>
        <v>363601764.63000011</v>
      </c>
      <c r="H42" s="1090">
        <f t="shared" ref="H42:H64" si="1">+J42</f>
        <v>320978851.88999999</v>
      </c>
      <c r="I42" s="1090"/>
      <c r="J42" s="1132">
        <f>+Monthly!O136</f>
        <v>320978851.88999999</v>
      </c>
      <c r="K42" s="1133"/>
      <c r="M42" s="67">
        <f>+Monthly!O25</f>
        <v>684580616.5200001</v>
      </c>
      <c r="N42" s="4" t="s">
        <v>1073</v>
      </c>
      <c r="O42" s="381">
        <v>4313343.5791000007</v>
      </c>
      <c r="P42" s="381">
        <f>+O42*1000</f>
        <v>4313343579.1000004</v>
      </c>
    </row>
    <row r="43" spans="1:16">
      <c r="A43" s="350">
        <v>3</v>
      </c>
      <c r="B43" s="1129" t="s">
        <v>394</v>
      </c>
      <c r="C43" s="1129"/>
      <c r="D43" s="249"/>
      <c r="E43" s="1122">
        <v>0</v>
      </c>
      <c r="F43" s="1123"/>
      <c r="G43" s="763">
        <f t="shared" si="0"/>
        <v>0</v>
      </c>
      <c r="H43" s="1090">
        <f t="shared" si="1"/>
        <v>18193051.879999999</v>
      </c>
      <c r="I43" s="1090"/>
      <c r="J43" s="1132">
        <v>18193051.879999999</v>
      </c>
      <c r="K43" s="1133"/>
      <c r="M43" s="67">
        <f>+Monthly!O52+Monthly!O47+Monthly!O46</f>
        <v>18193051.879999999</v>
      </c>
      <c r="N43" s="4" t="s">
        <v>1074</v>
      </c>
      <c r="O43" s="381">
        <v>3272115.45316</v>
      </c>
      <c r="P43" s="381">
        <f t="shared" ref="P43:P61" si="2">+O43*1000</f>
        <v>3272115453.1599998</v>
      </c>
    </row>
    <row r="44" spans="1:16">
      <c r="A44" s="350">
        <v>4</v>
      </c>
      <c r="B44" s="1129" t="s">
        <v>395</v>
      </c>
      <c r="C44" s="1129"/>
      <c r="D44" s="249"/>
      <c r="E44" s="1122">
        <v>383874502.88999999</v>
      </c>
      <c r="F44" s="1123"/>
      <c r="G44" s="763">
        <f t="shared" si="0"/>
        <v>0</v>
      </c>
      <c r="H44" s="1090">
        <f t="shared" si="1"/>
        <v>803466576.44000006</v>
      </c>
      <c r="I44" s="1090"/>
      <c r="J44" s="1132">
        <v>803466576.44000006</v>
      </c>
      <c r="K44" s="1133"/>
      <c r="M44" s="67">
        <f>+Monthly!O30</f>
        <v>803466576.44000006</v>
      </c>
      <c r="N44" s="4" t="s">
        <v>1075</v>
      </c>
      <c r="O44" s="381">
        <v>694231.2463</v>
      </c>
      <c r="P44" s="381">
        <f t="shared" si="2"/>
        <v>694231246.29999995</v>
      </c>
    </row>
    <row r="45" spans="1:16">
      <c r="A45" s="350">
        <v>5</v>
      </c>
      <c r="B45" s="1129" t="s">
        <v>396</v>
      </c>
      <c r="C45" s="1129"/>
      <c r="D45" s="249"/>
      <c r="E45" s="1122">
        <v>0</v>
      </c>
      <c r="F45" s="1123"/>
      <c r="G45" s="763">
        <f t="shared" si="0"/>
        <v>31186460.290000007</v>
      </c>
      <c r="H45" s="1090">
        <f t="shared" si="1"/>
        <v>66007005.25</v>
      </c>
      <c r="I45" s="1090"/>
      <c r="J45" s="1132">
        <f>+Monthly!O158</f>
        <v>66007005.25</v>
      </c>
      <c r="K45" s="1133"/>
      <c r="M45" s="67">
        <f>+Monthly!O31</f>
        <v>97193465.540000007</v>
      </c>
      <c r="N45" s="4" t="s">
        <v>1076</v>
      </c>
      <c r="O45" s="381">
        <v>653263.96886999998</v>
      </c>
      <c r="P45" s="381">
        <f t="shared" si="2"/>
        <v>653263968.87</v>
      </c>
    </row>
    <row r="46" spans="1:16">
      <c r="A46" s="350">
        <v>6</v>
      </c>
      <c r="B46" s="1129" t="s">
        <v>397</v>
      </c>
      <c r="C46" s="1129"/>
      <c r="D46" s="249">
        <v>12189342.010000002</v>
      </c>
      <c r="E46" s="1122">
        <v>27112494.129999992</v>
      </c>
      <c r="F46" s="1123"/>
      <c r="G46" s="763">
        <f t="shared" si="0"/>
        <v>17668535.909999982</v>
      </c>
      <c r="H46" s="1090">
        <f t="shared" si="1"/>
        <v>95388238.820000023</v>
      </c>
      <c r="I46" s="1090"/>
      <c r="J46" s="1132">
        <f>+Monthly!O140+Monthly!O141+Monthly!O142</f>
        <v>95388238.820000023</v>
      </c>
      <c r="K46" s="1133"/>
      <c r="M46" s="67">
        <f>+Monthly!O29</f>
        <v>113056774.73</v>
      </c>
      <c r="N46" s="4" t="s">
        <v>1077</v>
      </c>
      <c r="O46" s="381">
        <v>481919.67836000002</v>
      </c>
      <c r="P46" s="381">
        <f t="shared" si="2"/>
        <v>481919678.36000001</v>
      </c>
    </row>
    <row r="47" spans="1:16">
      <c r="A47" s="350">
        <v>7</v>
      </c>
      <c r="B47" s="1129" t="s">
        <v>398</v>
      </c>
      <c r="C47" s="1129"/>
      <c r="D47" s="249"/>
      <c r="E47" s="1122">
        <v>481919678.36000001</v>
      </c>
      <c r="F47" s="1123"/>
      <c r="G47" s="763">
        <f t="shared" si="0"/>
        <v>0</v>
      </c>
      <c r="H47" s="1090">
        <f t="shared" si="1"/>
        <v>0</v>
      </c>
      <c r="I47" s="1090"/>
      <c r="J47" s="1132"/>
      <c r="K47" s="1133"/>
      <c r="M47" s="67"/>
      <c r="N47" s="4" t="s">
        <v>1078</v>
      </c>
      <c r="O47" s="381">
        <v>471944.51577</v>
      </c>
      <c r="P47" s="381">
        <f t="shared" si="2"/>
        <v>471944515.76999998</v>
      </c>
    </row>
    <row r="48" spans="1:16">
      <c r="A48" s="350">
        <v>8</v>
      </c>
      <c r="B48" s="1129" t="s">
        <v>399</v>
      </c>
      <c r="C48" s="1129"/>
      <c r="D48" s="249"/>
      <c r="E48" s="1122">
        <v>0</v>
      </c>
      <c r="F48" s="1123"/>
      <c r="G48" s="763">
        <f t="shared" si="0"/>
        <v>0</v>
      </c>
      <c r="H48" s="1090">
        <f t="shared" si="1"/>
        <v>49544179.020000003</v>
      </c>
      <c r="I48" s="1090"/>
      <c r="J48" s="1132">
        <v>49544179.020000003</v>
      </c>
      <c r="K48" s="1133"/>
      <c r="M48" s="67">
        <f>+Monthly!O32</f>
        <v>49544179.020000003</v>
      </c>
      <c r="N48" s="4" t="s">
        <v>1079</v>
      </c>
      <c r="O48" s="381">
        <v>409237.80488999997</v>
      </c>
      <c r="P48" s="381">
        <f t="shared" si="2"/>
        <v>409237804.88999999</v>
      </c>
    </row>
    <row r="49" spans="1:16">
      <c r="A49" s="350">
        <v>9</v>
      </c>
      <c r="B49" s="1129" t="s">
        <v>400</v>
      </c>
      <c r="C49" s="1129"/>
      <c r="D49" s="249"/>
      <c r="E49" s="1122">
        <v>0</v>
      </c>
      <c r="F49" s="1123"/>
      <c r="G49" s="763">
        <f t="shared" si="0"/>
        <v>0</v>
      </c>
      <c r="H49" s="1090">
        <f t="shared" si="1"/>
        <v>0</v>
      </c>
      <c r="I49" s="1090"/>
      <c r="J49" s="1122"/>
      <c r="K49" s="1123"/>
      <c r="M49" s="67"/>
      <c r="N49" s="4" t="s">
        <v>1080</v>
      </c>
      <c r="O49" s="381">
        <v>383874.50289</v>
      </c>
      <c r="P49" s="381">
        <f t="shared" si="2"/>
        <v>383874502.88999999</v>
      </c>
    </row>
    <row r="50" spans="1:16">
      <c r="A50" s="350">
        <v>10</v>
      </c>
      <c r="B50" s="1129" t="s">
        <v>401</v>
      </c>
      <c r="C50" s="1129"/>
      <c r="D50" s="249"/>
      <c r="E50" s="1122">
        <v>33062035.5</v>
      </c>
      <c r="F50" s="1123"/>
      <c r="G50" s="763">
        <f t="shared" si="0"/>
        <v>0</v>
      </c>
      <c r="H50" s="1090">
        <f t="shared" si="1"/>
        <v>314577897.63</v>
      </c>
      <c r="I50" s="1090"/>
      <c r="J50" s="1132">
        <f>+M50</f>
        <v>314577897.63</v>
      </c>
      <c r="K50" s="1133"/>
      <c r="M50" s="67">
        <f>+Monthly!O45</f>
        <v>314577897.63</v>
      </c>
      <c r="N50" s="4" t="s">
        <v>1081</v>
      </c>
      <c r="O50" s="381">
        <v>264227.6225</v>
      </c>
      <c r="P50" s="381">
        <f t="shared" si="2"/>
        <v>264227622.5</v>
      </c>
    </row>
    <row r="51" spans="1:16">
      <c r="A51" s="350">
        <v>11</v>
      </c>
      <c r="B51" s="1129" t="s">
        <v>402</v>
      </c>
      <c r="C51" s="1129"/>
      <c r="D51" s="249">
        <v>60938591.629999995</v>
      </c>
      <c r="E51" s="1122">
        <v>128147367.63000003</v>
      </c>
      <c r="F51" s="1123"/>
      <c r="G51" s="763">
        <f t="shared" si="0"/>
        <v>105900009.38000003</v>
      </c>
      <c r="H51" s="1090">
        <f t="shared" si="1"/>
        <v>163817318.59999999</v>
      </c>
      <c r="I51" s="1090"/>
      <c r="J51" s="1132">
        <f>+Monthly!O160+Monthly!O161+Monthly!O162</f>
        <v>163817318.59999999</v>
      </c>
      <c r="K51" s="1133"/>
      <c r="M51" s="67">
        <f>+Monthly!O41</f>
        <v>269717327.98000002</v>
      </c>
      <c r="N51" s="4" t="s">
        <v>1082</v>
      </c>
      <c r="O51" s="381">
        <v>189085.95926000003</v>
      </c>
      <c r="P51" s="381">
        <f t="shared" si="2"/>
        <v>189085959.26000002</v>
      </c>
    </row>
    <row r="52" spans="1:16">
      <c r="A52" s="350">
        <v>12</v>
      </c>
      <c r="B52" s="1129" t="s">
        <v>403</v>
      </c>
      <c r="C52" s="1129"/>
      <c r="D52" s="249">
        <v>92484054.669999987</v>
      </c>
      <c r="E52" s="1122">
        <v>171743567.83000001</v>
      </c>
      <c r="F52" s="1123"/>
      <c r="G52" s="763">
        <f t="shared" si="0"/>
        <v>344899757.5</v>
      </c>
      <c r="H52" s="1090">
        <f t="shared" si="1"/>
        <v>190739661.17000002</v>
      </c>
      <c r="I52" s="1090"/>
      <c r="J52" s="1132">
        <f>+Monthly!O137</f>
        <v>190739661.17000002</v>
      </c>
      <c r="K52" s="1133"/>
      <c r="M52" s="67">
        <f>+Monthly!O42</f>
        <v>535639418.67000002</v>
      </c>
      <c r="N52" s="4" t="s">
        <v>1083</v>
      </c>
      <c r="O52" s="381">
        <v>186612.7273</v>
      </c>
      <c r="P52" s="381">
        <f t="shared" si="2"/>
        <v>186612727.30000001</v>
      </c>
    </row>
    <row r="53" spans="1:16">
      <c r="A53" s="350">
        <v>13</v>
      </c>
      <c r="B53" s="1129" t="s">
        <v>404</v>
      </c>
      <c r="C53" s="1129"/>
      <c r="D53" s="249">
        <v>117907319.33</v>
      </c>
      <c r="E53" s="1122">
        <v>354037196.44</v>
      </c>
      <c r="F53" s="1123"/>
      <c r="G53" s="763">
        <f t="shared" si="0"/>
        <v>291202180.38999987</v>
      </c>
      <c r="H53" s="1090">
        <f t="shared" si="1"/>
        <v>489539233.22000003</v>
      </c>
      <c r="I53" s="1090"/>
      <c r="J53" s="1132">
        <f>+Monthly!O139</f>
        <v>489539233.22000003</v>
      </c>
      <c r="K53" s="1133"/>
      <c r="M53" s="67">
        <f>+Monthly!O79</f>
        <v>780741413.6099999</v>
      </c>
      <c r="N53" s="4" t="s">
        <v>1084</v>
      </c>
      <c r="O53" s="381">
        <v>162562.72816</v>
      </c>
      <c r="P53" s="381">
        <f t="shared" si="2"/>
        <v>162562728.16</v>
      </c>
    </row>
    <row r="54" spans="1:16">
      <c r="A54" s="350">
        <v>14</v>
      </c>
      <c r="B54" s="1129" t="s">
        <v>405</v>
      </c>
      <c r="C54" s="1129"/>
      <c r="D54" s="249">
        <v>409237804.88999999</v>
      </c>
      <c r="E54" s="1122">
        <v>0</v>
      </c>
      <c r="F54" s="1123"/>
      <c r="G54" s="763">
        <f t="shared" si="0"/>
        <v>754077817.84454536</v>
      </c>
      <c r="H54" s="1090">
        <f t="shared" si="1"/>
        <v>0</v>
      </c>
      <c r="I54" s="1090"/>
      <c r="J54" s="1132">
        <v>0</v>
      </c>
      <c r="K54" s="1133"/>
      <c r="M54" s="67">
        <f>+Monthly!O40</f>
        <v>754077817.84454536</v>
      </c>
      <c r="N54" s="4" t="s">
        <v>1085</v>
      </c>
      <c r="O54" s="381">
        <v>161219.98462</v>
      </c>
      <c r="P54" s="381">
        <f t="shared" si="2"/>
        <v>161219984.62</v>
      </c>
    </row>
    <row r="55" spans="1:16">
      <c r="A55" s="350">
        <v>15</v>
      </c>
      <c r="B55" s="1129" t="s">
        <v>406</v>
      </c>
      <c r="C55" s="1129"/>
      <c r="D55" s="249"/>
      <c r="E55" s="1122">
        <v>186612727.30000001</v>
      </c>
      <c r="F55" s="1123"/>
      <c r="G55" s="763">
        <f t="shared" si="0"/>
        <v>0</v>
      </c>
      <c r="H55" s="1090">
        <f t="shared" si="1"/>
        <v>259846589.90000001</v>
      </c>
      <c r="I55" s="1090"/>
      <c r="J55" s="1122">
        <f>+Monthly!O163</f>
        <v>259846589.90000001</v>
      </c>
      <c r="K55" s="1123"/>
      <c r="M55" s="67">
        <f>+Monthly!O56</f>
        <v>259846589.90000001</v>
      </c>
      <c r="N55" s="4" t="s">
        <v>1086</v>
      </c>
      <c r="O55" s="381">
        <v>154268.91844000004</v>
      </c>
      <c r="P55" s="381">
        <f t="shared" si="2"/>
        <v>154268918.44000003</v>
      </c>
    </row>
    <row r="56" spans="1:16">
      <c r="A56" s="350">
        <v>16</v>
      </c>
      <c r="B56" s="1129" t="s">
        <v>407</v>
      </c>
      <c r="C56" s="1129"/>
      <c r="D56" s="249"/>
      <c r="E56" s="1122">
        <v>0</v>
      </c>
      <c r="F56" s="1123"/>
      <c r="G56" s="763">
        <f t="shared" si="0"/>
        <v>0</v>
      </c>
      <c r="H56" s="1090">
        <f t="shared" si="1"/>
        <v>0</v>
      </c>
      <c r="I56" s="1090"/>
      <c r="J56" s="1132"/>
      <c r="K56" s="1133"/>
      <c r="M56" s="67"/>
      <c r="N56" s="4" t="s">
        <v>1087</v>
      </c>
      <c r="O56" s="381">
        <v>39301.836139999992</v>
      </c>
      <c r="P56" s="381">
        <f t="shared" si="2"/>
        <v>39301836.139999993</v>
      </c>
    </row>
    <row r="57" spans="1:16">
      <c r="A57" s="350">
        <v>17</v>
      </c>
      <c r="B57" s="1129" t="s">
        <v>408</v>
      </c>
      <c r="C57" s="1129"/>
      <c r="D57" s="249">
        <v>154268918.44000003</v>
      </c>
      <c r="E57" s="1122">
        <v>0</v>
      </c>
      <c r="F57" s="1123"/>
      <c r="G57" s="763">
        <f t="shared" si="0"/>
        <v>119199182.90000001</v>
      </c>
      <c r="H57" s="1090">
        <f t="shared" si="1"/>
        <v>0</v>
      </c>
      <c r="I57" s="1090"/>
      <c r="J57" s="1132"/>
      <c r="K57" s="1133"/>
      <c r="M57" s="67">
        <f>+Monthly!O38</f>
        <v>119199182.90000001</v>
      </c>
      <c r="N57" s="4" t="s">
        <v>1088</v>
      </c>
      <c r="O57" s="381">
        <v>33062.035499999998</v>
      </c>
      <c r="P57" s="381">
        <f t="shared" si="2"/>
        <v>33062035.5</v>
      </c>
    </row>
    <row r="58" spans="1:16">
      <c r="A58" s="350">
        <v>18</v>
      </c>
      <c r="B58" s="1129" t="s">
        <v>409</v>
      </c>
      <c r="C58" s="1129"/>
      <c r="D58" s="249">
        <v>16233493.870000003</v>
      </c>
      <c r="E58" s="1122">
        <v>144986490.75</v>
      </c>
      <c r="F58" s="1123"/>
      <c r="G58" s="763">
        <f t="shared" si="0"/>
        <v>0</v>
      </c>
      <c r="H58" s="1090">
        <f t="shared" si="1"/>
        <v>122199151.2</v>
      </c>
      <c r="I58" s="1090"/>
      <c r="J58" s="1132">
        <v>122199151.2</v>
      </c>
      <c r="K58" s="1133"/>
      <c r="M58" s="67">
        <f>+Monthly!O28</f>
        <v>122199151.19999999</v>
      </c>
      <c r="N58" s="4" t="s">
        <v>1089</v>
      </c>
      <c r="O58" s="381">
        <v>24053.544849999998</v>
      </c>
      <c r="P58" s="381">
        <f t="shared" si="2"/>
        <v>24053544.849999998</v>
      </c>
    </row>
    <row r="59" spans="1:16">
      <c r="A59" s="350">
        <v>19</v>
      </c>
      <c r="B59" s="1129" t="s">
        <v>410</v>
      </c>
      <c r="C59" s="1129"/>
      <c r="D59" s="249"/>
      <c r="E59" s="1122">
        <v>0</v>
      </c>
      <c r="F59" s="1123"/>
      <c r="G59" s="763">
        <f t="shared" si="0"/>
        <v>0</v>
      </c>
      <c r="H59" s="1090">
        <f t="shared" si="1"/>
        <v>0</v>
      </c>
      <c r="I59" s="1090"/>
      <c r="J59" s="1132"/>
      <c r="K59" s="1133"/>
      <c r="M59" s="67"/>
      <c r="N59" s="4" t="s">
        <v>1090</v>
      </c>
      <c r="O59" s="381">
        <v>-68714.612999999998</v>
      </c>
      <c r="P59" s="381">
        <f t="shared" si="2"/>
        <v>-68714613</v>
      </c>
    </row>
    <row r="60" spans="1:16">
      <c r="A60" s="350">
        <v>20</v>
      </c>
      <c r="B60" s="1129" t="s">
        <v>411</v>
      </c>
      <c r="C60" s="1129"/>
      <c r="D60" s="249">
        <v>3272115453.1599998</v>
      </c>
      <c r="E60" s="1122">
        <v>0</v>
      </c>
      <c r="F60" s="1123"/>
      <c r="G60" s="763">
        <v>3238716467.0800009</v>
      </c>
      <c r="H60" s="1090">
        <f t="shared" si="1"/>
        <v>0</v>
      </c>
      <c r="I60" s="1090"/>
      <c r="J60" s="1132">
        <v>0</v>
      </c>
      <c r="K60" s="1133"/>
      <c r="M60" s="67">
        <f>+Monthly!O34</f>
        <v>1225727570.8999999</v>
      </c>
      <c r="N60" s="4" t="s">
        <v>1091</v>
      </c>
      <c r="O60" s="381">
        <v>641868.83166999999</v>
      </c>
      <c r="P60" s="381">
        <f t="shared" si="2"/>
        <v>641868831.66999996</v>
      </c>
    </row>
    <row r="61" spans="1:16">
      <c r="A61" s="350">
        <v>21</v>
      </c>
      <c r="B61" s="1129" t="s">
        <v>412</v>
      </c>
      <c r="C61" s="1129"/>
      <c r="D61" s="249"/>
      <c r="E61" s="1122">
        <v>653263968.87</v>
      </c>
      <c r="F61" s="1123"/>
      <c r="G61" s="763">
        <f t="shared" si="0"/>
        <v>0</v>
      </c>
      <c r="H61" s="1090">
        <f t="shared" si="1"/>
        <v>7834921063.9700003</v>
      </c>
      <c r="I61" s="1090"/>
      <c r="J61" s="1132">
        <f>+M61</f>
        <v>7834921063.9700003</v>
      </c>
      <c r="K61" s="1133"/>
      <c r="M61" s="67">
        <f>+Monthly!O90+Monthly!O51</f>
        <v>7834921063.9700003</v>
      </c>
      <c r="O61" s="381">
        <v>12467480.324779995</v>
      </c>
      <c r="P61" s="381">
        <f t="shared" si="2"/>
        <v>12467480324.779995</v>
      </c>
    </row>
    <row r="62" spans="1:16">
      <c r="A62" s="350">
        <v>22</v>
      </c>
      <c r="B62" s="1129" t="s">
        <v>69</v>
      </c>
      <c r="C62" s="1129"/>
      <c r="D62" s="249">
        <v>378529138.23000002</v>
      </c>
      <c r="E62" s="1122">
        <v>4093503575.4300008</v>
      </c>
      <c r="F62" s="1123"/>
      <c r="G62" s="763">
        <f t="shared" si="0"/>
        <v>0</v>
      </c>
      <c r="H62" s="1090">
        <f t="shared" si="1"/>
        <v>121974095.53</v>
      </c>
      <c r="I62" s="1090"/>
      <c r="J62" s="1132">
        <f>+M62</f>
        <v>121974095.53</v>
      </c>
      <c r="K62" s="1133"/>
      <c r="M62" s="67">
        <v>121974095.53</v>
      </c>
      <c r="P62" s="348">
        <f>+Monthly!O92</f>
        <v>0</v>
      </c>
    </row>
    <row r="63" spans="1:16">
      <c r="A63" s="350">
        <v>23</v>
      </c>
      <c r="B63" s="1129" t="s">
        <v>695</v>
      </c>
      <c r="C63" s="1129"/>
      <c r="D63" s="249">
        <v>439069287.85999995</v>
      </c>
      <c r="E63" s="1122">
        <v>255161958.44</v>
      </c>
      <c r="F63" s="1123"/>
      <c r="G63" s="763">
        <f t="shared" si="0"/>
        <v>1259437000.0799999</v>
      </c>
      <c r="H63" s="1090">
        <f t="shared" si="1"/>
        <v>372686996.11000001</v>
      </c>
      <c r="I63" s="1090"/>
      <c r="J63" s="1132">
        <f>+Monthly!O156+Monthly!O157</f>
        <v>372686996.11000001</v>
      </c>
      <c r="K63" s="1133"/>
      <c r="M63" s="67">
        <f>+Monthly!O33+Monthly!O53</f>
        <v>1632123996.1899998</v>
      </c>
    </row>
    <row r="64" spans="1:16">
      <c r="A64" s="350">
        <v>24</v>
      </c>
      <c r="B64" s="1129" t="s">
        <v>413</v>
      </c>
      <c r="C64" s="1129"/>
      <c r="D64" s="249"/>
      <c r="E64" s="1122"/>
      <c r="F64" s="1123"/>
      <c r="G64" s="763"/>
      <c r="H64" s="1090">
        <f t="shared" si="1"/>
        <v>1953109739.02</v>
      </c>
      <c r="I64" s="1090"/>
      <c r="J64" s="1132">
        <v>1953109739.02</v>
      </c>
      <c r="K64" s="1133"/>
      <c r="M64" s="381">
        <f>+Monthly!O36</f>
        <v>3966098635.2000008</v>
      </c>
    </row>
    <row r="65" spans="1:14">
      <c r="A65" s="1048" t="s">
        <v>309</v>
      </c>
      <c r="B65" s="1048"/>
      <c r="C65" s="1048"/>
      <c r="D65" s="70">
        <f>SUM(D41:D64)</f>
        <v>7104100561.54</v>
      </c>
      <c r="E65" s="1005">
        <f>SUM(E41:F64)</f>
        <v>9075641985.2200012</v>
      </c>
      <c r="F65" s="1006"/>
      <c r="G65" s="70">
        <f>SUM(G41:G64)</f>
        <v>9302986888.4645462</v>
      </c>
      <c r="H65" s="1019">
        <f>SUM(H41:I64)</f>
        <v>15236063283.470001</v>
      </c>
      <c r="I65" s="1019"/>
      <c r="J65" s="1005">
        <f>SUM(J41:K63)</f>
        <v>13282953544.450001</v>
      </c>
      <c r="K65" s="1006"/>
      <c r="M65" s="381">
        <f>SUM(M41:M63)</f>
        <v>20572951536.734543</v>
      </c>
      <c r="N65" s="355"/>
    </row>
    <row r="66" spans="1:14">
      <c r="A66" s="20"/>
      <c r="B66" s="64"/>
      <c r="C66" s="64"/>
      <c r="D66" s="64"/>
      <c r="E66" s="55"/>
      <c r="F66" s="55"/>
      <c r="G66" s="81">
        <f>+income!D15</f>
        <v>61767482448.799774</v>
      </c>
      <c r="H66" s="1134">
        <f>+income!D16</f>
        <v>13047588318.359997</v>
      </c>
      <c r="I66" s="1134"/>
      <c r="J66" s="354">
        <f>+G66+H66</f>
        <v>74815070767.159775</v>
      </c>
      <c r="K66" s="354">
        <f>+income!D15</f>
        <v>61767482448.799774</v>
      </c>
      <c r="M66" s="381"/>
      <c r="N66" s="355"/>
    </row>
    <row r="67" spans="1:14" ht="13.8">
      <c r="A67" s="20"/>
      <c r="B67" s="56" t="s">
        <v>414</v>
      </c>
      <c r="C67" s="19"/>
      <c r="D67" s="19"/>
      <c r="E67" s="19"/>
      <c r="F67" s="383"/>
      <c r="G67" s="74">
        <f>+G66-G65</f>
        <v>52464495560.335228</v>
      </c>
      <c r="H67" s="1135">
        <f>+H66-H65</f>
        <v>-2188474965.1100044</v>
      </c>
      <c r="I67" s="1135"/>
      <c r="J67" s="381">
        <f>+H65+G65</f>
        <v>24539050171.934547</v>
      </c>
      <c r="K67" s="381">
        <f>+K66-G65</f>
        <v>52464495560.335228</v>
      </c>
      <c r="M67" s="381"/>
    </row>
    <row r="68" spans="1:14">
      <c r="A68" s="346" t="s">
        <v>79</v>
      </c>
      <c r="B68" s="1124" t="s">
        <v>389</v>
      </c>
      <c r="C68" s="1124"/>
      <c r="D68" s="1124"/>
      <c r="E68" s="1124"/>
      <c r="F68" s="1088" t="s">
        <v>379</v>
      </c>
      <c r="G68" s="1088"/>
      <c r="H68" s="1088" t="s">
        <v>380</v>
      </c>
      <c r="I68" s="1088"/>
      <c r="J68" s="381">
        <f>+J67-J66</f>
        <v>-50276020595.225227</v>
      </c>
    </row>
    <row r="69" spans="1:14">
      <c r="A69" s="347">
        <v>1</v>
      </c>
      <c r="B69" s="1136" t="s">
        <v>415</v>
      </c>
      <c r="C69" s="1136"/>
      <c r="D69" s="1136"/>
      <c r="E69" s="1136"/>
      <c r="F69" s="1138">
        <v>11890756.939999999</v>
      </c>
      <c r="G69" s="1138"/>
      <c r="H69" s="1090"/>
      <c r="I69" s="1090"/>
      <c r="K69" s="381">
        <f>+K66+J66</f>
        <v>136582553215.95955</v>
      </c>
    </row>
    <row r="70" spans="1:14">
      <c r="A70" s="347">
        <v>2</v>
      </c>
      <c r="B70" s="1026" t="s">
        <v>416</v>
      </c>
      <c r="C70" s="1026"/>
      <c r="D70" s="1026"/>
      <c r="E70" s="1026"/>
      <c r="F70" s="1140">
        <v>2073570</v>
      </c>
      <c r="G70" s="1140"/>
      <c r="H70" s="1090">
        <f>-J70</f>
        <v>2800000</v>
      </c>
      <c r="I70" s="1090"/>
      <c r="J70" s="381">
        <v>-2800000</v>
      </c>
      <c r="K70" s="381">
        <f>+K69-J65</f>
        <v>123299599671.50955</v>
      </c>
    </row>
    <row r="71" spans="1:14">
      <c r="A71" s="347">
        <v>3</v>
      </c>
      <c r="B71" s="1136" t="s">
        <v>417</v>
      </c>
      <c r="C71" s="1136"/>
      <c r="D71" s="1136"/>
      <c r="E71" s="1136"/>
      <c r="F71" s="1137">
        <v>24685376.52</v>
      </c>
      <c r="G71" s="1137"/>
      <c r="H71" s="1090"/>
      <c r="I71" s="1090"/>
    </row>
    <row r="72" spans="1:14">
      <c r="A72" s="347">
        <v>4</v>
      </c>
      <c r="B72" s="1136" t="s">
        <v>418</v>
      </c>
      <c r="C72" s="1136"/>
      <c r="D72" s="1136"/>
      <c r="E72" s="1136"/>
      <c r="F72" s="1138">
        <v>250896930.06</v>
      </c>
      <c r="G72" s="1138"/>
      <c r="H72" s="1139"/>
      <c r="I72" s="1139"/>
    </row>
    <row r="73" spans="1:14">
      <c r="A73" s="1124" t="s">
        <v>309</v>
      </c>
      <c r="B73" s="1124"/>
      <c r="C73" s="1124"/>
      <c r="D73" s="1124"/>
      <c r="E73" s="1124"/>
      <c r="F73" s="1091">
        <f>SUM(F69:G72)</f>
        <v>289546633.51999998</v>
      </c>
      <c r="G73" s="1091"/>
      <c r="H73" s="1091">
        <f>SUM(H69:I72)</f>
        <v>2800000</v>
      </c>
      <c r="I73" s="1091"/>
      <c r="J73" s="354">
        <f>+income!D18</f>
        <v>1094287262.1585121</v>
      </c>
      <c r="K73" s="354"/>
    </row>
    <row r="74" spans="1:14">
      <c r="A74" s="20"/>
      <c r="B74" s="19"/>
      <c r="C74" s="19"/>
      <c r="D74" s="19"/>
      <c r="E74" s="19"/>
      <c r="F74" s="74"/>
      <c r="G74" s="74"/>
      <c r="H74" s="74"/>
      <c r="I74" s="74"/>
      <c r="J74" s="354">
        <f>+J73-H73</f>
        <v>1091487262.1585121</v>
      </c>
      <c r="K74" s="354"/>
    </row>
    <row r="75" spans="1:14" ht="13.8">
      <c r="A75" s="20"/>
      <c r="B75" s="56" t="s">
        <v>419</v>
      </c>
      <c r="C75" s="19"/>
      <c r="D75" s="19"/>
      <c r="E75" s="19"/>
      <c r="F75" s="19"/>
      <c r="G75" s="19"/>
      <c r="H75" s="19"/>
      <c r="I75" s="19"/>
      <c r="J75" s="354"/>
      <c r="K75" s="354"/>
    </row>
    <row r="76" spans="1:14">
      <c r="A76" s="1025" t="s">
        <v>79</v>
      </c>
      <c r="B76" s="1025" t="s">
        <v>312</v>
      </c>
      <c r="C76" s="1025"/>
      <c r="D76" s="1025"/>
      <c r="E76" s="1141" t="s">
        <v>420</v>
      </c>
      <c r="F76" s="1088" t="s">
        <v>421</v>
      </c>
      <c r="G76" s="1088"/>
      <c r="H76" s="1088"/>
      <c r="I76" s="1088"/>
    </row>
    <row r="77" spans="1:14">
      <c r="A77" s="1025"/>
      <c r="B77" s="1025"/>
      <c r="C77" s="1025"/>
      <c r="D77" s="1025"/>
      <c r="E77" s="1141"/>
      <c r="F77" s="1025" t="s">
        <v>422</v>
      </c>
      <c r="G77" s="1025"/>
      <c r="H77" s="1025" t="s">
        <v>423</v>
      </c>
      <c r="I77" s="1025"/>
    </row>
    <row r="78" spans="1:14">
      <c r="A78" s="347">
        <v>1</v>
      </c>
      <c r="B78" s="1147" t="s">
        <v>424</v>
      </c>
      <c r="C78" s="1147"/>
      <c r="D78" s="1147"/>
      <c r="E78" s="284"/>
      <c r="F78" s="1090">
        <f>12558581080.39-F79-F80</f>
        <v>10499507446.57</v>
      </c>
      <c r="G78" s="1090"/>
      <c r="H78" s="1090">
        <f>+J78-H79-H80</f>
        <v>17062329845.970001</v>
      </c>
      <c r="I78" s="1090"/>
      <c r="J78" s="381">
        <v>21898501192.25</v>
      </c>
    </row>
    <row r="79" spans="1:14">
      <c r="A79" s="347">
        <v>2</v>
      </c>
      <c r="B79" s="1147" t="s">
        <v>425</v>
      </c>
      <c r="C79" s="1147"/>
      <c r="D79" s="1147"/>
      <c r="E79" s="284">
        <v>588</v>
      </c>
      <c r="F79" s="1090">
        <f>+E41</f>
        <v>2162216421.6500001</v>
      </c>
      <c r="G79" s="1090"/>
      <c r="H79" s="1090">
        <f>+G41</f>
        <v>2777097712.460001</v>
      </c>
      <c r="I79" s="1090"/>
    </row>
    <row r="80" spans="1:14">
      <c r="A80" s="347">
        <v>3</v>
      </c>
      <c r="B80" s="1147" t="s">
        <v>426</v>
      </c>
      <c r="C80" s="1147"/>
      <c r="D80" s="1147"/>
      <c r="E80" s="284"/>
      <c r="F80" s="1090">
        <f>+H41-F79</f>
        <v>-103142787.8300004</v>
      </c>
      <c r="G80" s="1090"/>
      <c r="H80" s="1090">
        <f>+H41</f>
        <v>2059073633.8199997</v>
      </c>
      <c r="I80" s="1090"/>
    </row>
    <row r="81" spans="1:11">
      <c r="A81" s="1088" t="s">
        <v>82</v>
      </c>
      <c r="B81" s="1088"/>
      <c r="C81" s="1088"/>
      <c r="D81" s="1088"/>
      <c r="E81" s="285">
        <f>SUM(E78:E80)</f>
        <v>588</v>
      </c>
      <c r="F81" s="1148">
        <f>SUM(F78:F80)</f>
        <v>12558581080.389999</v>
      </c>
      <c r="G81" s="1149"/>
      <c r="H81" s="1090">
        <f>SUM(H78:I80)</f>
        <v>21898501192.25</v>
      </c>
      <c r="I81" s="1090"/>
    </row>
    <row r="82" spans="1:11">
      <c r="A82" s="41"/>
      <c r="B82" s="41"/>
      <c r="C82" s="41"/>
      <c r="D82" s="41"/>
      <c r="E82" s="41"/>
      <c r="F82" s="341"/>
      <c r="G82" s="20"/>
      <c r="H82" s="20"/>
      <c r="I82" s="20"/>
    </row>
    <row r="83" spans="1:11">
      <c r="A83" s="21" t="s">
        <v>427</v>
      </c>
      <c r="B83" s="22"/>
      <c r="C83" s="22"/>
      <c r="D83" s="22"/>
      <c r="E83" s="22"/>
      <c r="F83" s="22"/>
      <c r="G83" s="22"/>
      <c r="H83" s="22"/>
      <c r="I83" s="22"/>
    </row>
    <row r="84" spans="1:11">
      <c r="A84" s="20"/>
      <c r="B84" s="19"/>
      <c r="C84" s="19"/>
      <c r="D84" s="19"/>
      <c r="E84" s="19"/>
      <c r="F84" s="19"/>
      <c r="G84" s="19"/>
      <c r="H84" s="19"/>
      <c r="I84" s="19"/>
    </row>
    <row r="85" spans="1:11">
      <c r="A85" s="329" t="s">
        <v>192</v>
      </c>
      <c r="B85" s="364" t="s">
        <v>5</v>
      </c>
      <c r="C85" s="365"/>
      <c r="D85" s="365"/>
      <c r="E85" s="384"/>
      <c r="F85" s="1096" t="s">
        <v>364</v>
      </c>
      <c r="G85" s="1097"/>
      <c r="H85" s="1096" t="s">
        <v>365</v>
      </c>
      <c r="I85" s="1097"/>
    </row>
    <row r="86" spans="1:11">
      <c r="A86" s="339">
        <v>1</v>
      </c>
      <c r="B86" s="368" t="s">
        <v>428</v>
      </c>
      <c r="C86" s="369"/>
      <c r="D86" s="369"/>
      <c r="E86" s="385"/>
      <c r="F86" s="1142">
        <v>2725511668.5577998</v>
      </c>
      <c r="G86" s="1143"/>
      <c r="H86" s="1142"/>
      <c r="I86" s="1143"/>
    </row>
    <row r="87" spans="1:11">
      <c r="A87" s="339">
        <v>2</v>
      </c>
      <c r="B87" s="368" t="s">
        <v>429</v>
      </c>
      <c r="C87" s="369"/>
      <c r="D87" s="369"/>
      <c r="E87" s="385"/>
      <c r="F87" s="1142">
        <v>179771331.44000003</v>
      </c>
      <c r="G87" s="1143"/>
      <c r="H87" s="1142"/>
      <c r="I87" s="1143"/>
    </row>
    <row r="88" spans="1:11">
      <c r="A88" s="339">
        <v>3</v>
      </c>
      <c r="B88" s="368" t="s">
        <v>430</v>
      </c>
      <c r="C88" s="369"/>
      <c r="D88" s="369"/>
      <c r="E88" s="369"/>
      <c r="F88" s="1144">
        <f>SUM(F86:G87)</f>
        <v>2905282999.9977999</v>
      </c>
      <c r="G88" s="1145"/>
      <c r="H88" s="1144">
        <f>SUM(H86:I87)</f>
        <v>0</v>
      </c>
      <c r="I88" s="1145"/>
      <c r="J88" s="381">
        <f>+income!D25</f>
        <v>-2998981817.3140001</v>
      </c>
      <c r="K88" s="381">
        <f>+J88-H88</f>
        <v>-2998981817.3140001</v>
      </c>
    </row>
    <row r="89" spans="1:11">
      <c r="A89" s="20"/>
      <c r="B89" s="330" t="s">
        <v>431</v>
      </c>
      <c r="C89" s="26"/>
      <c r="D89" s="26"/>
      <c r="E89" s="26"/>
      <c r="F89" s="26"/>
      <c r="G89" s="26"/>
      <c r="H89" s="26"/>
      <c r="I89" s="26"/>
    </row>
    <row r="90" spans="1:11">
      <c r="A90" s="24"/>
      <c r="B90" s="24"/>
      <c r="C90" s="24"/>
      <c r="D90" s="24"/>
      <c r="E90" s="24"/>
      <c r="F90" s="24"/>
      <c r="G90" s="24"/>
      <c r="H90" s="24"/>
      <c r="I90" s="24"/>
    </row>
    <row r="91" spans="1:11">
      <c r="A91" s="1146"/>
      <c r="B91" s="1146"/>
      <c r="C91" s="1146"/>
      <c r="D91" s="1146"/>
      <c r="E91" s="1146"/>
      <c r="F91" s="1146"/>
      <c r="G91" s="1146"/>
      <c r="H91" s="1146"/>
      <c r="I91" s="1146"/>
    </row>
    <row r="92" spans="1:11">
      <c r="A92" s="1146"/>
      <c r="B92" s="1146"/>
      <c r="C92" s="1146"/>
      <c r="D92" s="1146"/>
      <c r="E92" s="1146"/>
      <c r="F92" s="1146"/>
      <c r="G92" s="1146"/>
      <c r="H92" s="1146"/>
      <c r="I92" s="1146"/>
    </row>
    <row r="93" spans="1:11">
      <c r="A93" s="1146"/>
      <c r="B93" s="1146"/>
      <c r="C93" s="1146"/>
      <c r="D93" s="1146"/>
      <c r="E93" s="1146"/>
      <c r="F93" s="1146"/>
      <c r="G93" s="1146"/>
      <c r="H93" s="1146"/>
      <c r="I93" s="1146"/>
    </row>
    <row r="94" spans="1:11">
      <c r="A94" s="1146"/>
      <c r="B94" s="1146"/>
      <c r="C94" s="1146"/>
      <c r="D94" s="1146"/>
      <c r="E94" s="1146"/>
      <c r="F94" s="1146"/>
      <c r="G94" s="1146"/>
      <c r="H94" s="1146"/>
      <c r="I94" s="1146"/>
    </row>
    <row r="95" spans="1:11">
      <c r="A95" s="1150"/>
      <c r="B95" s="1150"/>
      <c r="C95" s="1150"/>
      <c r="D95" s="1150"/>
      <c r="E95" s="1150"/>
      <c r="F95" s="1150"/>
      <c r="G95" s="1150"/>
      <c r="H95" s="1150"/>
      <c r="I95" s="1150"/>
    </row>
    <row r="96" spans="1:11">
      <c r="A96" s="1151" t="s">
        <v>432</v>
      </c>
      <c r="B96" s="1151"/>
      <c r="C96" s="1151"/>
      <c r="D96" s="1151"/>
      <c r="E96" s="1151"/>
      <c r="F96" s="1151"/>
      <c r="G96" s="1151"/>
      <c r="H96" s="1151"/>
      <c r="I96" s="1151"/>
    </row>
    <row r="97" spans="1:9">
      <c r="A97" s="43"/>
      <c r="B97" s="43"/>
      <c r="C97" s="43"/>
      <c r="D97" s="43"/>
      <c r="E97" s="43"/>
      <c r="F97" s="43"/>
      <c r="G97" s="43"/>
      <c r="H97" s="43"/>
      <c r="I97" s="43"/>
    </row>
    <row r="98" spans="1:9" ht="13.8">
      <c r="A98" s="43"/>
      <c r="B98" s="1152" t="s">
        <v>433</v>
      </c>
      <c r="C98" s="1152"/>
      <c r="D98" s="1152"/>
      <c r="E98" s="1152"/>
      <c r="F98" s="1152"/>
      <c r="G98" s="1152"/>
      <c r="H98" s="1152"/>
      <c r="I98" s="43"/>
    </row>
    <row r="99" spans="1:9">
      <c r="A99" s="20"/>
      <c r="B99" s="19"/>
      <c r="C99" s="19"/>
      <c r="D99" s="19"/>
      <c r="E99" s="19"/>
      <c r="F99" s="19"/>
      <c r="G99" s="19"/>
      <c r="H99" s="19"/>
      <c r="I99" s="19"/>
    </row>
    <row r="100" spans="1:9">
      <c r="A100" s="1088" t="s">
        <v>5</v>
      </c>
      <c r="B100" s="1088"/>
      <c r="C100" s="1088" t="s">
        <v>434</v>
      </c>
      <c r="D100" s="1088"/>
      <c r="E100" s="1141" t="s">
        <v>435</v>
      </c>
      <c r="F100" s="1141"/>
      <c r="G100" s="1141" t="s">
        <v>436</v>
      </c>
      <c r="H100" s="1141"/>
      <c r="I100" s="39" t="s">
        <v>437</v>
      </c>
    </row>
    <row r="101" spans="1:9">
      <c r="A101" s="1089" t="s">
        <v>438</v>
      </c>
      <c r="B101" s="1089"/>
      <c r="C101" s="1088"/>
      <c r="D101" s="1088"/>
      <c r="E101" s="1153"/>
      <c r="F101" s="1153"/>
      <c r="G101" s="1153"/>
      <c r="H101" s="1153"/>
      <c r="I101" s="386"/>
    </row>
    <row r="102" spans="1:9">
      <c r="A102" s="1121" t="s">
        <v>439</v>
      </c>
      <c r="B102" s="1121"/>
      <c r="C102" s="1088"/>
      <c r="D102" s="1088"/>
      <c r="E102" s="1153"/>
      <c r="F102" s="1153"/>
      <c r="G102" s="1153"/>
      <c r="H102" s="1153"/>
      <c r="I102" s="386"/>
    </row>
    <row r="103" spans="1:9">
      <c r="A103" s="1089" t="s">
        <v>440</v>
      </c>
      <c r="B103" s="1089"/>
      <c r="C103" s="1088"/>
      <c r="D103" s="1088"/>
      <c r="E103" s="1153"/>
      <c r="F103" s="1153"/>
      <c r="G103" s="1153"/>
      <c r="H103" s="1153"/>
      <c r="I103" s="386"/>
    </row>
    <row r="104" spans="1:9">
      <c r="A104" s="26"/>
      <c r="B104" s="26"/>
      <c r="C104" s="41"/>
      <c r="D104" s="41"/>
      <c r="E104" s="387"/>
      <c r="F104" s="387"/>
      <c r="G104" s="387"/>
      <c r="H104" s="387"/>
      <c r="I104" s="387"/>
    </row>
    <row r="105" spans="1:9">
      <c r="A105" s="26"/>
      <c r="B105" s="1093" t="s">
        <v>441</v>
      </c>
      <c r="C105" s="1093"/>
      <c r="D105" s="1093"/>
      <c r="E105" s="1093"/>
      <c r="F105" s="1093"/>
      <c r="G105" s="1093"/>
      <c r="H105" s="1093"/>
      <c r="I105" s="1093"/>
    </row>
    <row r="106" spans="1:9">
      <c r="A106" s="26"/>
      <c r="B106" s="26"/>
      <c r="C106" s="26"/>
      <c r="D106" s="26"/>
      <c r="E106" s="26"/>
      <c r="F106" s="26"/>
      <c r="G106" s="26"/>
      <c r="H106" s="26"/>
      <c r="I106" s="26"/>
    </row>
    <row r="107" spans="1:9" ht="13.8">
      <c r="A107" s="20"/>
      <c r="B107" s="1152" t="s">
        <v>442</v>
      </c>
      <c r="C107" s="1152"/>
      <c r="D107" s="1152"/>
      <c r="E107" s="1152"/>
      <c r="F107" s="1152"/>
      <c r="G107" s="1152"/>
      <c r="H107" s="19"/>
      <c r="I107" s="19"/>
    </row>
    <row r="108" spans="1:9">
      <c r="A108" s="20"/>
      <c r="B108" s="26"/>
      <c r="C108" s="26"/>
      <c r="D108" s="26"/>
      <c r="E108" s="26"/>
      <c r="F108" s="26"/>
      <c r="G108" s="26"/>
      <c r="H108" s="19"/>
      <c r="I108" s="19"/>
    </row>
    <row r="109" spans="1:9">
      <c r="A109" s="1085" t="s">
        <v>443</v>
      </c>
      <c r="B109" s="1085"/>
      <c r="C109" s="1085"/>
      <c r="D109" s="1085"/>
      <c r="E109" s="1085"/>
      <c r="F109" s="1085"/>
      <c r="G109" s="1085"/>
      <c r="H109" s="1085"/>
      <c r="I109" s="1085"/>
    </row>
    <row r="110" spans="1:9">
      <c r="A110" s="52"/>
      <c r="B110" s="345"/>
      <c r="C110" s="19"/>
      <c r="D110" s="19"/>
      <c r="E110" s="19"/>
      <c r="F110" s="345"/>
      <c r="G110" s="345"/>
      <c r="H110" s="345"/>
      <c r="I110" s="19"/>
    </row>
    <row r="111" spans="1:9">
      <c r="A111" s="39" t="s">
        <v>79</v>
      </c>
      <c r="B111" s="1088" t="s">
        <v>444</v>
      </c>
      <c r="C111" s="1088"/>
      <c r="D111" s="1088"/>
      <c r="E111" s="1088"/>
      <c r="F111" s="1088" t="s">
        <v>445</v>
      </c>
      <c r="G111" s="1088"/>
      <c r="H111" s="1088" t="s">
        <v>380</v>
      </c>
      <c r="I111" s="1088"/>
    </row>
    <row r="112" spans="1:9">
      <c r="A112" s="347">
        <v>1</v>
      </c>
      <c r="B112" s="1136" t="s">
        <v>446</v>
      </c>
      <c r="C112" s="1136"/>
      <c r="D112" s="1136"/>
      <c r="E112" s="1136"/>
      <c r="F112" s="1147"/>
      <c r="G112" s="1147"/>
      <c r="H112" s="1147"/>
      <c r="I112" s="1147"/>
    </row>
    <row r="113" spans="1:9">
      <c r="A113" s="347">
        <v>2</v>
      </c>
      <c r="B113" s="1026" t="s">
        <v>447</v>
      </c>
      <c r="C113" s="1026"/>
      <c r="D113" s="1026"/>
      <c r="E113" s="1026"/>
      <c r="F113" s="1147"/>
      <c r="G113" s="1147"/>
      <c r="H113" s="1147"/>
      <c r="I113" s="1147"/>
    </row>
    <row r="114" spans="1:9">
      <c r="A114" s="347">
        <v>3</v>
      </c>
      <c r="B114" s="1136" t="s">
        <v>448</v>
      </c>
      <c r="C114" s="1136"/>
      <c r="D114" s="1136"/>
      <c r="E114" s="1136"/>
      <c r="F114" s="1147"/>
      <c r="G114" s="1147"/>
      <c r="H114" s="1147"/>
      <c r="I114" s="1147"/>
    </row>
    <row r="115" spans="1:9">
      <c r="A115" s="347">
        <v>4</v>
      </c>
      <c r="B115" s="1154" t="s">
        <v>309</v>
      </c>
      <c r="C115" s="1154"/>
      <c r="D115" s="1154"/>
      <c r="E115" s="1154"/>
      <c r="F115" s="1126">
        <f>SUM(F112:G114)</f>
        <v>0</v>
      </c>
      <c r="G115" s="1126"/>
      <c r="H115" s="1126">
        <f>SUM(H112:I114)</f>
        <v>0</v>
      </c>
      <c r="I115" s="1126"/>
    </row>
    <row r="116" spans="1:9">
      <c r="A116" s="26"/>
      <c r="B116" s="26"/>
      <c r="C116" s="26"/>
      <c r="D116" s="26"/>
      <c r="E116" s="26"/>
      <c r="F116" s="26"/>
      <c r="G116" s="26"/>
      <c r="H116" s="26"/>
      <c r="I116" s="26"/>
    </row>
    <row r="117" spans="1:9">
      <c r="A117" s="26"/>
      <c r="B117" s="1155" t="s">
        <v>449</v>
      </c>
      <c r="C117" s="1155"/>
      <c r="D117" s="1155"/>
      <c r="E117" s="1155"/>
      <c r="F117" s="1155"/>
      <c r="G117" s="1155"/>
      <c r="H117" s="1155"/>
      <c r="I117" s="1155"/>
    </row>
    <row r="118" spans="1:9">
      <c r="A118" s="26"/>
      <c r="B118" s="26"/>
      <c r="C118" s="26"/>
      <c r="D118" s="26"/>
      <c r="E118" s="26"/>
      <c r="F118" s="26"/>
      <c r="G118" s="26"/>
      <c r="H118" s="26"/>
      <c r="I118" s="26"/>
    </row>
    <row r="119" spans="1:9" ht="13.8">
      <c r="A119" s="20"/>
      <c r="B119" s="1152" t="s">
        <v>450</v>
      </c>
      <c r="C119" s="1152"/>
      <c r="D119" s="1152"/>
      <c r="E119" s="1152"/>
      <c r="F119" s="1152"/>
      <c r="G119" s="1152"/>
      <c r="H119" s="19"/>
      <c r="I119" s="19"/>
    </row>
    <row r="120" spans="1:9">
      <c r="A120" s="20"/>
      <c r="B120" s="26"/>
      <c r="C120" s="26"/>
      <c r="D120" s="26"/>
      <c r="E120" s="26"/>
      <c r="F120" s="26"/>
      <c r="G120" s="26"/>
      <c r="H120" s="19"/>
      <c r="I120" s="19"/>
    </row>
    <row r="121" spans="1:9">
      <c r="A121" s="27" t="s">
        <v>192</v>
      </c>
      <c r="B121" s="985" t="s">
        <v>451</v>
      </c>
      <c r="C121" s="987"/>
      <c r="D121" s="1037" t="s">
        <v>452</v>
      </c>
      <c r="E121" s="1037"/>
      <c r="F121" s="1037" t="s">
        <v>453</v>
      </c>
      <c r="G121" s="1037"/>
      <c r="H121" s="1025" t="s">
        <v>454</v>
      </c>
      <c r="I121" s="1025"/>
    </row>
    <row r="122" spans="1:9">
      <c r="A122" s="379">
        <v>1</v>
      </c>
      <c r="B122" s="1157"/>
      <c r="C122" s="1158"/>
      <c r="D122" s="1159"/>
      <c r="E122" s="1159"/>
      <c r="F122" s="1160"/>
      <c r="G122" s="1160"/>
      <c r="H122" s="1159"/>
      <c r="I122" s="1159"/>
    </row>
    <row r="123" spans="1:9">
      <c r="A123" s="379">
        <v>2</v>
      </c>
      <c r="B123" s="1157"/>
      <c r="C123" s="1158"/>
      <c r="D123" s="1159"/>
      <c r="E123" s="1159"/>
      <c r="F123" s="1159"/>
      <c r="G123" s="1159"/>
      <c r="H123" s="1159"/>
      <c r="I123" s="1159"/>
    </row>
    <row r="124" spans="1:9">
      <c r="A124" s="20"/>
      <c r="B124" s="19"/>
      <c r="C124" s="19"/>
      <c r="D124" s="19"/>
      <c r="E124" s="19"/>
      <c r="F124" s="19"/>
      <c r="G124" s="19"/>
      <c r="H124" s="19"/>
      <c r="I124" s="19"/>
    </row>
    <row r="125" spans="1:9">
      <c r="A125" s="1156" t="s">
        <v>455</v>
      </c>
      <c r="B125" s="1156"/>
      <c r="C125" s="1156"/>
      <c r="D125" s="1156"/>
      <c r="E125" s="1156"/>
      <c r="F125" s="1156"/>
      <c r="G125" s="1156"/>
      <c r="H125" s="1156"/>
      <c r="I125" s="1156"/>
    </row>
    <row r="126" spans="1:9">
      <c r="A126" s="20"/>
      <c r="B126" s="19"/>
      <c r="C126" s="19"/>
      <c r="D126" s="19"/>
      <c r="E126" s="19"/>
      <c r="F126" s="19"/>
      <c r="G126" s="19"/>
      <c r="H126" s="19"/>
      <c r="I126" s="19"/>
    </row>
    <row r="127" spans="1:9">
      <c r="A127" s="1023" t="s">
        <v>456</v>
      </c>
      <c r="B127" s="1023"/>
      <c r="C127" s="1023"/>
      <c r="D127" s="1023"/>
      <c r="E127" s="1023"/>
      <c r="F127" s="1023"/>
      <c r="G127" s="1023"/>
      <c r="H127" s="1023"/>
      <c r="I127" s="1023"/>
    </row>
    <row r="128" spans="1:9">
      <c r="A128" s="1023"/>
      <c r="B128" s="1023"/>
      <c r="C128" s="1023"/>
      <c r="D128" s="1023"/>
      <c r="E128" s="1023"/>
      <c r="F128" s="1023"/>
      <c r="G128" s="1023"/>
      <c r="H128" s="1023"/>
      <c r="I128" s="1023"/>
    </row>
    <row r="129" spans="1:9">
      <c r="A129" s="1146"/>
      <c r="B129" s="1146"/>
      <c r="C129" s="1146"/>
      <c r="D129" s="1146"/>
      <c r="E129" s="1146"/>
      <c r="F129" s="1146"/>
      <c r="G129" s="1146"/>
      <c r="H129" s="1146"/>
      <c r="I129" s="1146"/>
    </row>
    <row r="130" spans="1:9">
      <c r="A130" s="1146" t="s">
        <v>190</v>
      </c>
      <c r="B130" s="1146"/>
      <c r="C130" s="1146"/>
      <c r="D130" s="1146"/>
      <c r="E130" s="1146"/>
      <c r="F130" s="1146"/>
      <c r="G130" s="1146"/>
      <c r="H130" s="1146"/>
      <c r="I130" s="1146"/>
    </row>
    <row r="131" spans="1:9">
      <c r="A131" s="1146"/>
      <c r="B131" s="1146"/>
      <c r="C131" s="1146"/>
      <c r="D131" s="1146"/>
      <c r="E131" s="1146"/>
      <c r="F131" s="1146"/>
      <c r="G131" s="1146"/>
      <c r="H131" s="1146"/>
      <c r="I131" s="1146"/>
    </row>
    <row r="132" spans="1:9">
      <c r="A132" s="1146"/>
      <c r="B132" s="1146"/>
      <c r="C132" s="1146"/>
      <c r="D132" s="1146"/>
      <c r="E132" s="1146"/>
      <c r="F132" s="1146"/>
      <c r="G132" s="1146"/>
      <c r="H132" s="1146"/>
      <c r="I132" s="1146"/>
    </row>
    <row r="133" spans="1:9">
      <c r="A133" s="1146"/>
      <c r="B133" s="1146"/>
      <c r="C133" s="1146"/>
      <c r="D133" s="1146"/>
      <c r="E133" s="1146"/>
      <c r="F133" s="1146"/>
      <c r="G133" s="1146"/>
      <c r="H133" s="1146"/>
      <c r="I133" s="1146"/>
    </row>
    <row r="134" spans="1:9">
      <c r="A134" s="20"/>
      <c r="B134" s="19"/>
      <c r="C134" s="19"/>
      <c r="D134" s="19"/>
      <c r="E134" s="19"/>
      <c r="F134" s="19"/>
      <c r="G134" s="19"/>
      <c r="H134" s="19"/>
      <c r="I134" s="19"/>
    </row>
    <row r="135" spans="1:9">
      <c r="A135" s="1156" t="s">
        <v>457</v>
      </c>
      <c r="B135" s="1156"/>
      <c r="C135" s="1156"/>
      <c r="D135" s="1156"/>
      <c r="E135" s="1156"/>
      <c r="F135" s="1156"/>
      <c r="G135" s="1156"/>
      <c r="H135" s="1156"/>
      <c r="I135" s="1156"/>
    </row>
    <row r="136" spans="1:9">
      <c r="A136" s="20"/>
      <c r="B136" s="19"/>
      <c r="C136" s="19"/>
      <c r="D136" s="19"/>
      <c r="E136" s="19"/>
      <c r="F136" s="19"/>
      <c r="G136" s="19"/>
      <c r="H136" s="19"/>
      <c r="I136" s="19"/>
    </row>
    <row r="137" spans="1:9">
      <c r="A137" s="1023" t="s">
        <v>458</v>
      </c>
      <c r="B137" s="1023"/>
      <c r="C137" s="1023"/>
      <c r="D137" s="1023"/>
      <c r="E137" s="1023"/>
      <c r="F137" s="1023"/>
      <c r="G137" s="1023"/>
      <c r="H137" s="1023"/>
      <c r="I137" s="1023"/>
    </row>
    <row r="138" spans="1:9">
      <c r="A138" s="1023"/>
      <c r="B138" s="1023"/>
      <c r="C138" s="1023"/>
      <c r="D138" s="1023"/>
      <c r="E138" s="1023"/>
      <c r="F138" s="1023"/>
      <c r="G138" s="1023"/>
      <c r="H138" s="1023"/>
      <c r="I138" s="1023"/>
    </row>
    <row r="139" spans="1:9">
      <c r="A139" s="1146"/>
      <c r="B139" s="1146"/>
      <c r="C139" s="1146"/>
      <c r="D139" s="1146"/>
      <c r="E139" s="1146"/>
      <c r="F139" s="1146"/>
      <c r="G139" s="1146"/>
      <c r="H139" s="1146"/>
      <c r="I139" s="1146"/>
    </row>
    <row r="140" spans="1:9">
      <c r="A140" s="1146" t="s">
        <v>793</v>
      </c>
      <c r="B140" s="1146"/>
      <c r="C140" s="1146"/>
      <c r="D140" s="1146"/>
      <c r="E140" s="1146"/>
      <c r="F140" s="1146"/>
      <c r="G140" s="1146"/>
      <c r="H140" s="1146"/>
      <c r="I140" s="1146"/>
    </row>
    <row r="141" spans="1:9">
      <c r="A141" s="1146"/>
      <c r="B141" s="1146"/>
      <c r="C141" s="1146"/>
      <c r="D141" s="1146"/>
      <c r="E141" s="1146"/>
      <c r="F141" s="1146"/>
      <c r="G141" s="1146"/>
      <c r="H141" s="1146"/>
      <c r="I141" s="1146"/>
    </row>
    <row r="142" spans="1:9">
      <c r="A142" s="1146"/>
      <c r="B142" s="1146"/>
      <c r="C142" s="1146"/>
      <c r="D142" s="1146"/>
      <c r="E142" s="1146"/>
      <c r="F142" s="1146"/>
      <c r="G142" s="1146"/>
      <c r="H142" s="1146"/>
      <c r="I142" s="1146"/>
    </row>
    <row r="143" spans="1:9">
      <c r="A143" s="1146"/>
      <c r="B143" s="1146"/>
      <c r="C143" s="1146"/>
      <c r="D143" s="1146"/>
      <c r="E143" s="1146"/>
      <c r="F143" s="1146"/>
      <c r="G143" s="1146"/>
      <c r="H143" s="1146"/>
      <c r="I143" s="1146"/>
    </row>
    <row r="144" spans="1:9">
      <c r="A144" s="1146"/>
      <c r="B144" s="1146"/>
      <c r="C144" s="1146"/>
      <c r="D144" s="1146"/>
      <c r="E144" s="1146"/>
      <c r="F144" s="1146"/>
      <c r="G144" s="1146"/>
      <c r="H144" s="1146"/>
      <c r="I144" s="1146"/>
    </row>
  </sheetData>
  <mergeCells count="288">
    <mergeCell ref="A125:I125"/>
    <mergeCell ref="A127:I128"/>
    <mergeCell ref="A129:I129"/>
    <mergeCell ref="A130:I130"/>
    <mergeCell ref="A131:I131"/>
    <mergeCell ref="A132:I132"/>
    <mergeCell ref="B122:C122"/>
    <mergeCell ref="D122:E122"/>
    <mergeCell ref="F122:G122"/>
    <mergeCell ref="H122:I122"/>
    <mergeCell ref="B123:C123"/>
    <mergeCell ref="D123:E123"/>
    <mergeCell ref="F123:G123"/>
    <mergeCell ref="H123:I123"/>
    <mergeCell ref="A142:I142"/>
    <mergeCell ref="A143:I143"/>
    <mergeCell ref="A144:I144"/>
    <mergeCell ref="A133:I133"/>
    <mergeCell ref="A135:I135"/>
    <mergeCell ref="A137:I138"/>
    <mergeCell ref="A139:I139"/>
    <mergeCell ref="A140:I140"/>
    <mergeCell ref="A141:I141"/>
    <mergeCell ref="B115:E115"/>
    <mergeCell ref="F115:G115"/>
    <mergeCell ref="H115:I115"/>
    <mergeCell ref="B117:I117"/>
    <mergeCell ref="B119:G119"/>
    <mergeCell ref="B121:C121"/>
    <mergeCell ref="D121:E121"/>
    <mergeCell ref="F121:G121"/>
    <mergeCell ref="H121:I121"/>
    <mergeCell ref="B113:E113"/>
    <mergeCell ref="F113:G113"/>
    <mergeCell ref="H113:I113"/>
    <mergeCell ref="B114:E114"/>
    <mergeCell ref="F114:G114"/>
    <mergeCell ref="H114:I114"/>
    <mergeCell ref="A109:I109"/>
    <mergeCell ref="B111:E111"/>
    <mergeCell ref="F111:G111"/>
    <mergeCell ref="H111:I111"/>
    <mergeCell ref="B112:E112"/>
    <mergeCell ref="F112:G112"/>
    <mergeCell ref="H112:I112"/>
    <mergeCell ref="A103:B103"/>
    <mergeCell ref="C103:D103"/>
    <mergeCell ref="E103:F103"/>
    <mergeCell ref="G103:H103"/>
    <mergeCell ref="B105:I105"/>
    <mergeCell ref="B107:G107"/>
    <mergeCell ref="A101:B101"/>
    <mergeCell ref="C101:D101"/>
    <mergeCell ref="E101:F101"/>
    <mergeCell ref="G101:H101"/>
    <mergeCell ref="A102:B102"/>
    <mergeCell ref="C102:D102"/>
    <mergeCell ref="E102:F102"/>
    <mergeCell ref="G102:H102"/>
    <mergeCell ref="A93:I93"/>
    <mergeCell ref="A94:I94"/>
    <mergeCell ref="A95:I95"/>
    <mergeCell ref="A96:I96"/>
    <mergeCell ref="B98:H98"/>
    <mergeCell ref="A100:B100"/>
    <mergeCell ref="C100:D100"/>
    <mergeCell ref="E100:F100"/>
    <mergeCell ref="G100:H100"/>
    <mergeCell ref="F86:G86"/>
    <mergeCell ref="F87:G87"/>
    <mergeCell ref="F88:G88"/>
    <mergeCell ref="H88:I88"/>
    <mergeCell ref="A91:I91"/>
    <mergeCell ref="A92:I92"/>
    <mergeCell ref="H86:I86"/>
    <mergeCell ref="H87:I87"/>
    <mergeCell ref="B78:D78"/>
    <mergeCell ref="B79:D79"/>
    <mergeCell ref="B80:D80"/>
    <mergeCell ref="A81:D81"/>
    <mergeCell ref="F85:G85"/>
    <mergeCell ref="H85:I85"/>
    <mergeCell ref="H79:I79"/>
    <mergeCell ref="H80:I80"/>
    <mergeCell ref="H81:I81"/>
    <mergeCell ref="F78:G78"/>
    <mergeCell ref="F79:G79"/>
    <mergeCell ref="F80:G80"/>
    <mergeCell ref="F81:G81"/>
    <mergeCell ref="A73:E73"/>
    <mergeCell ref="F73:G73"/>
    <mergeCell ref="H73:I73"/>
    <mergeCell ref="A76:A77"/>
    <mergeCell ref="B76:D77"/>
    <mergeCell ref="E76:E77"/>
    <mergeCell ref="F76:I76"/>
    <mergeCell ref="F77:G77"/>
    <mergeCell ref="H77:I77"/>
    <mergeCell ref="B71:E71"/>
    <mergeCell ref="F71:G71"/>
    <mergeCell ref="H71:I71"/>
    <mergeCell ref="B72:E72"/>
    <mergeCell ref="F72:G72"/>
    <mergeCell ref="H72:I72"/>
    <mergeCell ref="B69:E69"/>
    <mergeCell ref="F69:G69"/>
    <mergeCell ref="H69:I69"/>
    <mergeCell ref="B70:E70"/>
    <mergeCell ref="F70:G70"/>
    <mergeCell ref="H70:I70"/>
    <mergeCell ref="A65:C65"/>
    <mergeCell ref="E65:F65"/>
    <mergeCell ref="H65:I65"/>
    <mergeCell ref="B68:E68"/>
    <mergeCell ref="F68:G68"/>
    <mergeCell ref="H68:I68"/>
    <mergeCell ref="B63:C63"/>
    <mergeCell ref="E63:F63"/>
    <mergeCell ref="J63:K63"/>
    <mergeCell ref="B64:C64"/>
    <mergeCell ref="E64:F64"/>
    <mergeCell ref="J64:K64"/>
    <mergeCell ref="H63:I63"/>
    <mergeCell ref="H64:I64"/>
    <mergeCell ref="J65:K65"/>
    <mergeCell ref="H66:I66"/>
    <mergeCell ref="H67:I67"/>
    <mergeCell ref="B61:C61"/>
    <mergeCell ref="E61:F61"/>
    <mergeCell ref="J61:K61"/>
    <mergeCell ref="B62:C62"/>
    <mergeCell ref="E62:F62"/>
    <mergeCell ref="J62:K62"/>
    <mergeCell ref="B59:C59"/>
    <mergeCell ref="E59:F59"/>
    <mergeCell ref="J59:K59"/>
    <mergeCell ref="B60:C60"/>
    <mergeCell ref="E60:F60"/>
    <mergeCell ref="J60:K60"/>
    <mergeCell ref="H59:I59"/>
    <mergeCell ref="H60:I60"/>
    <mergeCell ref="H61:I61"/>
    <mergeCell ref="H62:I62"/>
    <mergeCell ref="B57:C57"/>
    <mergeCell ref="E57:F57"/>
    <mergeCell ref="J57:K57"/>
    <mergeCell ref="B58:C58"/>
    <mergeCell ref="E58:F58"/>
    <mergeCell ref="J58:K58"/>
    <mergeCell ref="B55:C55"/>
    <mergeCell ref="E55:F55"/>
    <mergeCell ref="J55:K55"/>
    <mergeCell ref="B56:C56"/>
    <mergeCell ref="E56:F56"/>
    <mergeCell ref="J56:K56"/>
    <mergeCell ref="H55:I55"/>
    <mergeCell ref="H56:I56"/>
    <mergeCell ref="H57:I57"/>
    <mergeCell ref="H58:I58"/>
    <mergeCell ref="B53:C53"/>
    <mergeCell ref="E53:F53"/>
    <mergeCell ref="J53:K53"/>
    <mergeCell ref="B54:C54"/>
    <mergeCell ref="E54:F54"/>
    <mergeCell ref="J54:K54"/>
    <mergeCell ref="B51:C51"/>
    <mergeCell ref="E51:F51"/>
    <mergeCell ref="J51:K51"/>
    <mergeCell ref="B52:C52"/>
    <mergeCell ref="E52:F52"/>
    <mergeCell ref="J52:K52"/>
    <mergeCell ref="H51:I51"/>
    <mergeCell ref="H52:I52"/>
    <mergeCell ref="H53:I53"/>
    <mergeCell ref="H54:I54"/>
    <mergeCell ref="B49:C49"/>
    <mergeCell ref="E49:F49"/>
    <mergeCell ref="J49:K49"/>
    <mergeCell ref="B50:C50"/>
    <mergeCell ref="E50:F50"/>
    <mergeCell ref="J50:K50"/>
    <mergeCell ref="B47:C47"/>
    <mergeCell ref="E47:F47"/>
    <mergeCell ref="J47:K47"/>
    <mergeCell ref="B48:C48"/>
    <mergeCell ref="E48:F48"/>
    <mergeCell ref="J48:K48"/>
    <mergeCell ref="H47:I47"/>
    <mergeCell ref="H48:I48"/>
    <mergeCell ref="H49:I49"/>
    <mergeCell ref="H50:I50"/>
    <mergeCell ref="B45:C45"/>
    <mergeCell ref="E45:F45"/>
    <mergeCell ref="J45:K45"/>
    <mergeCell ref="B46:C46"/>
    <mergeCell ref="E46:F46"/>
    <mergeCell ref="J46:K46"/>
    <mergeCell ref="B43:C43"/>
    <mergeCell ref="E43:F43"/>
    <mergeCell ref="J43:K43"/>
    <mergeCell ref="B44:C44"/>
    <mergeCell ref="E44:F44"/>
    <mergeCell ref="J44:K44"/>
    <mergeCell ref="H43:I43"/>
    <mergeCell ref="H44:I44"/>
    <mergeCell ref="H45:I45"/>
    <mergeCell ref="H46:I46"/>
    <mergeCell ref="B41:C41"/>
    <mergeCell ref="J41:K41"/>
    <mergeCell ref="B42:C42"/>
    <mergeCell ref="E42:F42"/>
    <mergeCell ref="J42:K42"/>
    <mergeCell ref="A33:E33"/>
    <mergeCell ref="F33:G33"/>
    <mergeCell ref="H33:I33"/>
    <mergeCell ref="A39:A40"/>
    <mergeCell ref="B39:C40"/>
    <mergeCell ref="D39:F39"/>
    <mergeCell ref="G39:I39"/>
    <mergeCell ref="E40:F40"/>
    <mergeCell ref="H40:I40"/>
    <mergeCell ref="H41:I41"/>
    <mergeCell ref="H42:I42"/>
    <mergeCell ref="B31:E31"/>
    <mergeCell ref="F31:G31"/>
    <mergeCell ref="H31:I31"/>
    <mergeCell ref="B32:E32"/>
    <mergeCell ref="F32:G32"/>
    <mergeCell ref="H32:I32"/>
    <mergeCell ref="B29:E29"/>
    <mergeCell ref="F29:G29"/>
    <mergeCell ref="H29:I29"/>
    <mergeCell ref="B30:E30"/>
    <mergeCell ref="F30:G30"/>
    <mergeCell ref="H30:I30"/>
    <mergeCell ref="D12:F12"/>
    <mergeCell ref="G12:I12"/>
    <mergeCell ref="B13:C13"/>
    <mergeCell ref="D13:F13"/>
    <mergeCell ref="G13:I13"/>
    <mergeCell ref="A24:C24"/>
    <mergeCell ref="D24:F24"/>
    <mergeCell ref="G24:I24"/>
    <mergeCell ref="B28:E28"/>
    <mergeCell ref="F28:G28"/>
    <mergeCell ref="H28:I28"/>
    <mergeCell ref="B21:C21"/>
    <mergeCell ref="D21:F21"/>
    <mergeCell ref="G21:I21"/>
    <mergeCell ref="B23:C23"/>
    <mergeCell ref="D23:F23"/>
    <mergeCell ref="G23:I23"/>
    <mergeCell ref="B22:C22"/>
    <mergeCell ref="D22:F22"/>
    <mergeCell ref="G22:I22"/>
    <mergeCell ref="B7:C7"/>
    <mergeCell ref="D7:F7"/>
    <mergeCell ref="G7:I7"/>
    <mergeCell ref="E41:F41"/>
    <mergeCell ref="H78:I78"/>
    <mergeCell ref="B10:C10"/>
    <mergeCell ref="D10:F10"/>
    <mergeCell ref="G10:I10"/>
    <mergeCell ref="B11:C11"/>
    <mergeCell ref="D11:F11"/>
    <mergeCell ref="G11:I11"/>
    <mergeCell ref="B8:C8"/>
    <mergeCell ref="D8:F8"/>
    <mergeCell ref="G8:I8"/>
    <mergeCell ref="B9:C9"/>
    <mergeCell ref="D9:F9"/>
    <mergeCell ref="G9:I9"/>
    <mergeCell ref="B14:C14"/>
    <mergeCell ref="D14:F14"/>
    <mergeCell ref="G14:I14"/>
    <mergeCell ref="B20:C20"/>
    <mergeCell ref="D20:F20"/>
    <mergeCell ref="G20:I20"/>
    <mergeCell ref="B12:C12"/>
    <mergeCell ref="B4:C4"/>
    <mergeCell ref="D4:F4"/>
    <mergeCell ref="G4:I4"/>
    <mergeCell ref="B5:C5"/>
    <mergeCell ref="D5:F5"/>
    <mergeCell ref="G5:I5"/>
    <mergeCell ref="B6:C6"/>
    <mergeCell ref="D6:F6"/>
    <mergeCell ref="G6:I6"/>
  </mergeCells>
  <phoneticPr fontId="9" type="noConversion"/>
  <pageMargins left="0.7" right="0.16" top="0.39" bottom="0.31" header="0.3" footer="0.16"/>
  <pageSetup paperSize="9" scale="86" fitToHeight="0"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92D050"/>
    <pageSetUpPr fitToPage="1"/>
  </sheetPr>
  <dimension ref="A1:K144"/>
  <sheetViews>
    <sheetView topLeftCell="A49" workbookViewId="0">
      <selection activeCell="G43" activeCellId="1" sqref="B5:C5 G43"/>
    </sheetView>
  </sheetViews>
  <sheetFormatPr defaultColWidth="9.109375" defaultRowHeight="13.2"/>
  <cols>
    <col min="1" max="1" width="4" style="4" customWidth="1"/>
    <col min="2" max="2" width="9.109375" style="4"/>
    <col min="3" max="3" width="28.44140625" style="4" customWidth="1"/>
    <col min="4" max="4" width="12.5546875" style="380" customWidth="1"/>
    <col min="5" max="5" width="9.109375" style="380"/>
    <col min="6" max="6" width="9.33203125" style="380" customWidth="1"/>
    <col min="7" max="7" width="16.33203125" style="380" customWidth="1"/>
    <col min="8" max="9" width="8.88671875" style="380" customWidth="1"/>
    <col min="10" max="10" width="15.5546875" style="4" bestFit="1" customWidth="1"/>
    <col min="11" max="11" width="16" style="4" customWidth="1"/>
    <col min="12" max="16384" width="9.109375" style="4"/>
  </cols>
  <sheetData>
    <row r="1" spans="1:9">
      <c r="A1" s="20"/>
      <c r="B1" s="19"/>
      <c r="C1" s="19"/>
      <c r="D1" s="337"/>
      <c r="E1" s="337"/>
      <c r="F1" s="337"/>
      <c r="G1" s="337"/>
      <c r="H1" s="337"/>
      <c r="I1" s="337"/>
    </row>
    <row r="2" spans="1:9">
      <c r="A2" s="21" t="s">
        <v>363</v>
      </c>
      <c r="B2" s="22"/>
      <c r="C2" s="22"/>
      <c r="D2" s="338"/>
      <c r="E2" s="338"/>
      <c r="F2" s="338"/>
      <c r="G2" s="338"/>
      <c r="H2" s="338"/>
      <c r="I2" s="338"/>
    </row>
    <row r="3" spans="1:9">
      <c r="A3" s="54"/>
      <c r="B3" s="54"/>
      <c r="C3" s="19"/>
      <c r="D3" s="337"/>
      <c r="E3" s="337"/>
      <c r="F3" s="337"/>
      <c r="G3" s="337"/>
      <c r="H3" s="337"/>
      <c r="I3" s="337"/>
    </row>
    <row r="4" spans="1:9">
      <c r="A4" s="35" t="s">
        <v>79</v>
      </c>
      <c r="B4" s="1096" t="s">
        <v>5</v>
      </c>
      <c r="C4" s="1097"/>
      <c r="D4" s="1162" t="s">
        <v>364</v>
      </c>
      <c r="E4" s="1162"/>
      <c r="F4" s="1162"/>
      <c r="G4" s="1162" t="s">
        <v>365</v>
      </c>
      <c r="H4" s="1162"/>
      <c r="I4" s="1162"/>
    </row>
    <row r="5" spans="1:9">
      <c r="A5" s="339">
        <v>1</v>
      </c>
      <c r="B5" s="1117" t="s">
        <v>366</v>
      </c>
      <c r="C5" s="1118"/>
      <c r="D5" s="1161">
        <f>+'todruulga-Zardal'!D5:F5/1000</f>
        <v>0</v>
      </c>
      <c r="E5" s="1161"/>
      <c r="F5" s="1161"/>
      <c r="G5" s="1161">
        <f>+'todruulga-Zardal'!G5:I5/1000</f>
        <v>0</v>
      </c>
      <c r="H5" s="1161"/>
      <c r="I5" s="1161"/>
    </row>
    <row r="6" spans="1:9">
      <c r="A6" s="339">
        <v>1.1000000000000001</v>
      </c>
      <c r="B6" s="1119" t="s">
        <v>367</v>
      </c>
      <c r="C6" s="1120"/>
      <c r="D6" s="1161">
        <f>+'todruulga-Zardal'!D6:F6/1000</f>
        <v>72779616.708810002</v>
      </c>
      <c r="E6" s="1161"/>
      <c r="F6" s="1161"/>
      <c r="G6" s="1161">
        <f>+'todruulga-Zardal'!G6:I6/1000</f>
        <v>130754988.45923999</v>
      </c>
      <c r="H6" s="1161"/>
      <c r="I6" s="1161"/>
    </row>
    <row r="7" spans="1:9">
      <c r="A7" s="339">
        <v>1.2</v>
      </c>
      <c r="B7" s="1121" t="s">
        <v>368</v>
      </c>
      <c r="C7" s="1121"/>
      <c r="D7" s="1161">
        <f>+'todruulga-Zardal'!D7:F7/1000</f>
        <v>0</v>
      </c>
      <c r="E7" s="1161"/>
      <c r="F7" s="1161"/>
      <c r="G7" s="1161">
        <f>+'todruulga-Zardal'!G7:I7/1000</f>
        <v>0</v>
      </c>
      <c r="H7" s="1161"/>
      <c r="I7" s="1161"/>
    </row>
    <row r="8" spans="1:9">
      <c r="A8" s="339">
        <v>1.3</v>
      </c>
      <c r="B8" s="1089" t="s">
        <v>369</v>
      </c>
      <c r="C8" s="1089"/>
      <c r="D8" s="1161">
        <f>+'todruulga-Zardal'!D8:F8/1000</f>
        <v>72779616.708810002</v>
      </c>
      <c r="E8" s="1161"/>
      <c r="F8" s="1161"/>
      <c r="G8" s="1161">
        <f>+'todruulga-Zardal'!G8:I8/1000</f>
        <v>130754988.45923999</v>
      </c>
      <c r="H8" s="1161"/>
      <c r="I8" s="1161"/>
    </row>
    <row r="9" spans="1:9">
      <c r="A9" s="340">
        <v>2</v>
      </c>
      <c r="B9" s="1125" t="s">
        <v>370</v>
      </c>
      <c r="C9" s="1125"/>
      <c r="D9" s="1161">
        <f>+'todruulga-Zardal'!D9:F9/1000</f>
        <v>1568756.42775</v>
      </c>
      <c r="E9" s="1161"/>
      <c r="F9" s="1161"/>
      <c r="G9" s="1161">
        <f>+'todruulga-Zardal'!G9:I9/1000</f>
        <v>5135494.12371</v>
      </c>
      <c r="H9" s="1161"/>
      <c r="I9" s="1161"/>
    </row>
    <row r="10" spans="1:9">
      <c r="A10" s="340">
        <v>3</v>
      </c>
      <c r="B10" s="1124" t="s">
        <v>371</v>
      </c>
      <c r="C10" s="1124"/>
      <c r="D10" s="1161">
        <f>+'todruulga-Zardal'!D10:F10/1000</f>
        <v>71210860.281059995</v>
      </c>
      <c r="E10" s="1161"/>
      <c r="F10" s="1161"/>
      <c r="G10" s="1161">
        <f>+'todruulga-Zardal'!G10:I10/1000</f>
        <v>125619494.33552998</v>
      </c>
      <c r="H10" s="1161"/>
      <c r="I10" s="1161"/>
    </row>
    <row r="11" spans="1:9">
      <c r="A11" s="340">
        <v>4</v>
      </c>
      <c r="B11" s="1124" t="s">
        <v>372</v>
      </c>
      <c r="C11" s="1124"/>
      <c r="D11" s="1161">
        <f>+'todruulga-Zardal'!D11:F11/1000</f>
        <v>0</v>
      </c>
      <c r="E11" s="1161"/>
      <c r="F11" s="1161"/>
      <c r="G11" s="1161">
        <f>+'todruulga-Zardal'!G11:I11/1000</f>
        <v>0</v>
      </c>
      <c r="H11" s="1161"/>
      <c r="I11" s="1161"/>
    </row>
    <row r="12" spans="1:9">
      <c r="A12" s="339">
        <v>4.0999999999999996</v>
      </c>
      <c r="B12" s="1121" t="s">
        <v>373</v>
      </c>
      <c r="C12" s="1121"/>
      <c r="D12" s="1161">
        <f>+'todruulga-Zardal'!D12:F12/1000</f>
        <v>43273032.498279996</v>
      </c>
      <c r="E12" s="1161"/>
      <c r="F12" s="1161"/>
      <c r="G12" s="1161">
        <f>+'todruulga-Zardal'!G12:I12/1000</f>
        <v>97766831.001219288</v>
      </c>
      <c r="H12" s="1161"/>
      <c r="I12" s="1161"/>
    </row>
    <row r="13" spans="1:9">
      <c r="A13" s="339">
        <v>4.2</v>
      </c>
      <c r="B13" s="1121" t="s">
        <v>374</v>
      </c>
      <c r="C13" s="1121"/>
      <c r="D13" s="1161">
        <f>+'todruulga-Zardal'!D13:F13/1000</f>
        <v>0</v>
      </c>
      <c r="E13" s="1161"/>
      <c r="F13" s="1161"/>
      <c r="G13" s="1161">
        <f>+'todruulga-Zardal'!G13:I13/1000</f>
        <v>0</v>
      </c>
      <c r="H13" s="1161"/>
      <c r="I13" s="1161"/>
    </row>
    <row r="14" spans="1:9">
      <c r="A14" s="340">
        <v>4.3</v>
      </c>
      <c r="B14" s="1124" t="s">
        <v>375</v>
      </c>
      <c r="C14" s="1124"/>
      <c r="D14" s="1163">
        <f>SUM(D12:F13)</f>
        <v>43273032.498279996</v>
      </c>
      <c r="E14" s="1163"/>
      <c r="F14" s="1163"/>
      <c r="G14" s="1163">
        <f>SUM(G12:I13)</f>
        <v>97766831.001219288</v>
      </c>
      <c r="H14" s="1163"/>
      <c r="I14" s="1163"/>
    </row>
    <row r="15" spans="1:9">
      <c r="A15" s="341"/>
      <c r="B15" s="41"/>
      <c r="C15" s="41"/>
      <c r="D15" s="342"/>
      <c r="E15" s="342"/>
      <c r="F15" s="342"/>
      <c r="G15" s="342"/>
      <c r="H15" s="342"/>
      <c r="I15" s="342"/>
    </row>
    <row r="16" spans="1:9">
      <c r="A16" s="21" t="s">
        <v>376</v>
      </c>
      <c r="B16" s="22"/>
      <c r="C16" s="22"/>
      <c r="D16" s="338"/>
      <c r="E16" s="338"/>
      <c r="F16" s="338"/>
      <c r="G16" s="338"/>
      <c r="H16" s="338"/>
      <c r="I16" s="338"/>
    </row>
    <row r="17" spans="1:9">
      <c r="A17" s="42"/>
      <c r="B17" s="343"/>
      <c r="C17" s="343"/>
      <c r="D17" s="344"/>
      <c r="E17" s="344"/>
      <c r="F17" s="344"/>
      <c r="G17" s="344"/>
      <c r="H17" s="344"/>
      <c r="I17" s="344"/>
    </row>
    <row r="18" spans="1:9" ht="13.8">
      <c r="A18" s="20"/>
      <c r="B18" s="56" t="s">
        <v>377</v>
      </c>
      <c r="C18" s="19"/>
      <c r="D18" s="337"/>
      <c r="E18" s="337"/>
      <c r="F18" s="337"/>
      <c r="G18" s="337"/>
      <c r="H18" s="337"/>
      <c r="I18" s="337"/>
    </row>
    <row r="19" spans="1:9">
      <c r="A19" s="52"/>
      <c r="B19" s="345"/>
      <c r="C19" s="19"/>
      <c r="D19" s="337"/>
      <c r="E19" s="337"/>
      <c r="F19" s="337"/>
      <c r="G19" s="337"/>
      <c r="H19" s="337"/>
      <c r="I19" s="337"/>
    </row>
    <row r="20" spans="1:9">
      <c r="A20" s="346" t="s">
        <v>79</v>
      </c>
      <c r="B20" s="1124" t="s">
        <v>378</v>
      </c>
      <c r="C20" s="1124"/>
      <c r="D20" s="1163" t="s">
        <v>379</v>
      </c>
      <c r="E20" s="1163"/>
      <c r="F20" s="1163"/>
      <c r="G20" s="1162" t="s">
        <v>380</v>
      </c>
      <c r="H20" s="1162"/>
      <c r="I20" s="1162"/>
    </row>
    <row r="21" spans="1:9">
      <c r="A21" s="347">
        <v>1</v>
      </c>
      <c r="B21" s="1089" t="s">
        <v>381</v>
      </c>
      <c r="C21" s="1089"/>
      <c r="D21" s="1161">
        <f>+'todruulga-Zardal'!D21:F21/1000</f>
        <v>1619431.3525</v>
      </c>
      <c r="E21" s="1161"/>
      <c r="F21" s="1161"/>
      <c r="G21" s="1161">
        <f>+'todruulga-Zardal'!G21:I21/1000</f>
        <v>1619431.3525</v>
      </c>
      <c r="H21" s="1161"/>
      <c r="I21" s="1161"/>
    </row>
    <row r="22" spans="1:9">
      <c r="A22" s="347">
        <v>1</v>
      </c>
      <c r="B22" s="1089" t="s">
        <v>61</v>
      </c>
      <c r="C22" s="1089"/>
      <c r="D22" s="1161">
        <f>+'todruulga-Zardal'!D22:F22/1000</f>
        <v>165914.06180000002</v>
      </c>
      <c r="E22" s="1161"/>
      <c r="F22" s="1161"/>
      <c r="G22" s="1161">
        <f>+'todruulga-Zardal'!G22:I22/1000</f>
        <v>165914.06180000002</v>
      </c>
      <c r="H22" s="1161"/>
      <c r="I22" s="1161"/>
    </row>
    <row r="23" spans="1:9">
      <c r="A23" s="347">
        <v>2</v>
      </c>
      <c r="B23" s="1089" t="s">
        <v>65</v>
      </c>
      <c r="C23" s="1089"/>
      <c r="D23" s="1161">
        <f>+'todruulga-Zardal'!D23:F23/1000</f>
        <v>86127.323839999997</v>
      </c>
      <c r="E23" s="1161"/>
      <c r="F23" s="1161"/>
      <c r="G23" s="1161">
        <f>+'todruulga-Zardal'!G23:I23/1000</f>
        <v>841754.06970340014</v>
      </c>
      <c r="H23" s="1161"/>
      <c r="I23" s="1161"/>
    </row>
    <row r="24" spans="1:9">
      <c r="A24" s="1096" t="s">
        <v>309</v>
      </c>
      <c r="B24" s="1127"/>
      <c r="C24" s="1097"/>
      <c r="D24" s="1163">
        <f>SUM(D21:F23)</f>
        <v>1871472.73814</v>
      </c>
      <c r="E24" s="1163"/>
      <c r="F24" s="1163"/>
      <c r="G24" s="1163">
        <f>SUM(G21:I23)</f>
        <v>2627099.4840034004</v>
      </c>
      <c r="H24" s="1163"/>
      <c r="I24" s="1163"/>
    </row>
    <row r="25" spans="1:9">
      <c r="A25" s="20"/>
      <c r="B25" s="19"/>
      <c r="C25" s="19"/>
      <c r="D25" s="337"/>
      <c r="E25" s="337"/>
      <c r="F25" s="337"/>
      <c r="G25" s="337"/>
      <c r="H25" s="337"/>
      <c r="I25" s="337"/>
    </row>
    <row r="26" spans="1:9" ht="13.8">
      <c r="A26" s="20"/>
      <c r="B26" s="56" t="s">
        <v>382</v>
      </c>
      <c r="C26" s="19"/>
      <c r="D26" s="337"/>
      <c r="E26" s="337"/>
      <c r="F26" s="337"/>
      <c r="G26" s="337"/>
      <c r="H26" s="337"/>
      <c r="I26" s="337"/>
    </row>
    <row r="27" spans="1:9">
      <c r="A27" s="52"/>
      <c r="B27" s="345"/>
      <c r="C27" s="19"/>
      <c r="D27" s="337"/>
      <c r="E27" s="337"/>
      <c r="F27" s="337"/>
      <c r="G27" s="337"/>
      <c r="H27" s="337"/>
      <c r="I27" s="337"/>
    </row>
    <row r="28" spans="1:9">
      <c r="A28" s="346" t="s">
        <v>79</v>
      </c>
      <c r="B28" s="1088" t="s">
        <v>193</v>
      </c>
      <c r="C28" s="1088"/>
      <c r="D28" s="1088"/>
      <c r="E28" s="1088"/>
      <c r="F28" s="1162" t="s">
        <v>379</v>
      </c>
      <c r="G28" s="1162"/>
      <c r="H28" s="1162" t="s">
        <v>380</v>
      </c>
      <c r="I28" s="1162"/>
    </row>
    <row r="29" spans="1:9" s="213" customFormat="1" ht="21.75" customHeight="1">
      <c r="A29" s="58">
        <v>1</v>
      </c>
      <c r="B29" s="1128" t="s">
        <v>383</v>
      </c>
      <c r="C29" s="1128"/>
      <c r="D29" s="1128"/>
      <c r="E29" s="1128"/>
      <c r="F29" s="1164">
        <f>+'todruulga-Zardal'!F29:G29/1000</f>
        <v>85134.28456</v>
      </c>
      <c r="G29" s="1164"/>
      <c r="H29" s="1164">
        <f>+'todruulga-Zardal'!H29:I29/1000</f>
        <v>85134.28456</v>
      </c>
      <c r="I29" s="1164"/>
    </row>
    <row r="30" spans="1:9" s="213" customFormat="1" ht="21.75" customHeight="1">
      <c r="A30" s="58">
        <v>2</v>
      </c>
      <c r="B30" s="1128" t="s">
        <v>384</v>
      </c>
      <c r="C30" s="1128"/>
      <c r="D30" s="1128"/>
      <c r="E30" s="1128"/>
      <c r="F30" s="1164">
        <f>+'todruulga-Zardal'!F30:G30/1000</f>
        <v>-99673.628220004088</v>
      </c>
      <c r="G30" s="1164"/>
      <c r="H30" s="1164">
        <f>+'todruulga-Zardal'!H30:I30/1000</f>
        <v>-99673.628220004088</v>
      </c>
      <c r="I30" s="1164"/>
    </row>
    <row r="31" spans="1:9" s="213" customFormat="1" ht="21.75" customHeight="1">
      <c r="A31" s="58">
        <v>3</v>
      </c>
      <c r="B31" s="1128" t="s">
        <v>385</v>
      </c>
      <c r="C31" s="1128"/>
      <c r="D31" s="1128"/>
      <c r="E31" s="1128"/>
      <c r="F31" s="1164">
        <f>+'todruulga-Zardal'!F31:G31/1000</f>
        <v>-128351.80694000001</v>
      </c>
      <c r="G31" s="1164"/>
      <c r="H31" s="1164">
        <f>+'todruulga-Zardal'!H31:I31/1000</f>
        <v>-128351.80694000001</v>
      </c>
      <c r="I31" s="1164"/>
    </row>
    <row r="32" spans="1:9" s="213" customFormat="1" ht="21.75" customHeight="1">
      <c r="A32" s="58">
        <v>4</v>
      </c>
      <c r="B32" s="1129" t="s">
        <v>386</v>
      </c>
      <c r="C32" s="1129"/>
      <c r="D32" s="1129"/>
      <c r="E32" s="1129"/>
      <c r="F32" s="1164">
        <f>+'todruulga-Zardal'!F32:G32/1000</f>
        <v>-6731.9765800000005</v>
      </c>
      <c r="G32" s="1164"/>
      <c r="H32" s="1164">
        <f>+'todruulga-Zardal'!H32:I32/1000</f>
        <v>-6731.9765800000005</v>
      </c>
      <c r="I32" s="1164"/>
    </row>
    <row r="33" spans="1:11">
      <c r="A33" s="1088" t="s">
        <v>309</v>
      </c>
      <c r="B33" s="1088"/>
      <c r="C33" s="1088"/>
      <c r="D33" s="1088"/>
      <c r="E33" s="1088"/>
      <c r="F33" s="1163">
        <f>SUM(F29:G32)</f>
        <v>-149623.12718000408</v>
      </c>
      <c r="G33" s="1163"/>
      <c r="H33" s="1163">
        <f>SUM(H29:I32)</f>
        <v>-149623.12718000408</v>
      </c>
      <c r="I33" s="1163"/>
      <c r="J33" s="348">
        <f>+Monthly!P84/1000</f>
        <v>0</v>
      </c>
      <c r="K33" s="348">
        <f>+H33-J33</f>
        <v>-149623.12718000408</v>
      </c>
    </row>
    <row r="34" spans="1:11">
      <c r="A34" s="20"/>
      <c r="B34" s="19"/>
      <c r="C34" s="19"/>
      <c r="D34" s="337"/>
      <c r="E34" s="337"/>
      <c r="F34" s="337"/>
      <c r="G34" s="337"/>
      <c r="H34" s="337"/>
      <c r="I34" s="337"/>
    </row>
    <row r="35" spans="1:11">
      <c r="A35" s="21" t="s">
        <v>387</v>
      </c>
      <c r="B35" s="22"/>
      <c r="C35" s="22"/>
      <c r="D35" s="338"/>
      <c r="E35" s="338"/>
      <c r="F35" s="338"/>
      <c r="G35" s="338"/>
      <c r="H35" s="338"/>
      <c r="I35" s="338"/>
    </row>
    <row r="36" spans="1:11">
      <c r="A36" s="20"/>
      <c r="B36" s="19"/>
      <c r="C36" s="19"/>
      <c r="D36" s="337"/>
      <c r="E36" s="337"/>
      <c r="F36" s="337"/>
      <c r="G36" s="337"/>
      <c r="H36" s="337"/>
      <c r="I36" s="337"/>
    </row>
    <row r="37" spans="1:11" ht="13.8">
      <c r="A37" s="20"/>
      <c r="B37" s="56" t="s">
        <v>388</v>
      </c>
      <c r="C37" s="19"/>
      <c r="D37" s="337"/>
      <c r="E37" s="337"/>
      <c r="F37" s="337"/>
      <c r="G37" s="337"/>
      <c r="H37" s="337"/>
      <c r="I37" s="337"/>
    </row>
    <row r="38" spans="1:11" ht="13.8">
      <c r="A38" s="20"/>
      <c r="B38" s="56"/>
      <c r="C38" s="19"/>
      <c r="D38" s="337"/>
      <c r="E38" s="337"/>
      <c r="F38" s="337"/>
      <c r="G38" s="337"/>
      <c r="H38" s="337"/>
      <c r="I38" s="337"/>
    </row>
    <row r="39" spans="1:11">
      <c r="A39" s="1025" t="s">
        <v>192</v>
      </c>
      <c r="B39" s="1037" t="s">
        <v>389</v>
      </c>
      <c r="C39" s="1037"/>
      <c r="D39" s="1084" t="s">
        <v>379</v>
      </c>
      <c r="E39" s="1084"/>
      <c r="F39" s="1084"/>
      <c r="G39" s="1084" t="s">
        <v>380</v>
      </c>
      <c r="H39" s="1084"/>
      <c r="I39" s="1084"/>
    </row>
    <row r="40" spans="1:11">
      <c r="A40" s="1025"/>
      <c r="B40" s="1037"/>
      <c r="C40" s="1037"/>
      <c r="D40" s="349" t="s">
        <v>390</v>
      </c>
      <c r="E40" s="1068" t="s">
        <v>391</v>
      </c>
      <c r="F40" s="1069"/>
      <c r="G40" s="349" t="s">
        <v>390</v>
      </c>
      <c r="H40" s="1068" t="s">
        <v>391</v>
      </c>
      <c r="I40" s="1069"/>
    </row>
    <row r="41" spans="1:11">
      <c r="A41" s="350">
        <v>1</v>
      </c>
      <c r="B41" s="1129" t="s">
        <v>392</v>
      </c>
      <c r="C41" s="1129"/>
      <c r="D41" s="351"/>
      <c r="E41" s="1165">
        <v>2907438</v>
      </c>
      <c r="F41" s="1166"/>
      <c r="G41" s="351">
        <f>+'todruulga-Zardal'!G41/1000</f>
        <v>2777097.712460001</v>
      </c>
      <c r="H41" s="1165">
        <f>+'todruulga-Zardal'!H41:I41/1000</f>
        <v>2059073.6338199996</v>
      </c>
      <c r="I41" s="1166"/>
    </row>
    <row r="42" spans="1:11">
      <c r="A42" s="350">
        <v>2</v>
      </c>
      <c r="B42" s="1129" t="s">
        <v>393</v>
      </c>
      <c r="C42" s="1129"/>
      <c r="D42" s="351"/>
      <c r="E42" s="1165">
        <v>346597</v>
      </c>
      <c r="F42" s="1166"/>
      <c r="G42" s="351">
        <f>+'todruulga-Zardal'!G42/1000</f>
        <v>363601.76463000011</v>
      </c>
      <c r="H42" s="1165">
        <f>+'todruulga-Zardal'!H42:I42/1000</f>
        <v>320978.85188999999</v>
      </c>
      <c r="I42" s="1166"/>
    </row>
    <row r="43" spans="1:11">
      <c r="A43" s="350">
        <v>3</v>
      </c>
      <c r="B43" s="1129" t="s">
        <v>394</v>
      </c>
      <c r="C43" s="1129"/>
      <c r="D43" s="351"/>
      <c r="E43" s="1165">
        <v>38405</v>
      </c>
      <c r="F43" s="1166"/>
      <c r="G43" s="351">
        <f>+'todruulga-Zardal'!G43/1000</f>
        <v>0</v>
      </c>
      <c r="H43" s="1165">
        <f>+'todruulga-Zardal'!H43:I43/1000</f>
        <v>18193.051879999999</v>
      </c>
      <c r="I43" s="1166"/>
    </row>
    <row r="44" spans="1:11">
      <c r="A44" s="350">
        <v>4</v>
      </c>
      <c r="B44" s="1129" t="s">
        <v>395</v>
      </c>
      <c r="C44" s="1129"/>
      <c r="D44" s="351"/>
      <c r="E44" s="1165">
        <v>305103</v>
      </c>
      <c r="F44" s="1166"/>
      <c r="G44" s="351">
        <f>+'todruulga-Zardal'!G44/1000</f>
        <v>0</v>
      </c>
      <c r="H44" s="1165">
        <f>+'todruulga-Zardal'!H44:I44/1000</f>
        <v>803466.57644000009</v>
      </c>
      <c r="I44" s="1166"/>
    </row>
    <row r="45" spans="1:11">
      <c r="A45" s="350">
        <v>5</v>
      </c>
      <c r="B45" s="1129" t="s">
        <v>396</v>
      </c>
      <c r="C45" s="1129"/>
      <c r="D45" s="351"/>
      <c r="E45" s="1165">
        <v>61181</v>
      </c>
      <c r="F45" s="1166"/>
      <c r="G45" s="351">
        <f>+'todruulga-Zardal'!G45/1000</f>
        <v>31186.460290000006</v>
      </c>
      <c r="H45" s="1165">
        <f>+'todruulga-Zardal'!H45:I45/1000</f>
        <v>66007.005250000002</v>
      </c>
      <c r="I45" s="1166"/>
    </row>
    <row r="46" spans="1:11">
      <c r="A46" s="350">
        <v>6</v>
      </c>
      <c r="B46" s="1129" t="s">
        <v>397</v>
      </c>
      <c r="C46" s="1129"/>
      <c r="D46" s="351"/>
      <c r="E46" s="1165">
        <v>35232</v>
      </c>
      <c r="F46" s="1166"/>
      <c r="G46" s="351">
        <f>+'todruulga-Zardal'!G46/1000</f>
        <v>17668.535909999981</v>
      </c>
      <c r="H46" s="1165">
        <f>+'todruulga-Zardal'!H46:I46/1000</f>
        <v>95388.238820000028</v>
      </c>
      <c r="I46" s="1166"/>
    </row>
    <row r="47" spans="1:11">
      <c r="A47" s="350">
        <v>7</v>
      </c>
      <c r="B47" s="1129" t="s">
        <v>398</v>
      </c>
      <c r="C47" s="1129"/>
      <c r="D47" s="351"/>
      <c r="E47" s="1165">
        <v>9000</v>
      </c>
      <c r="F47" s="1166"/>
      <c r="G47" s="351">
        <f>+'todruulga-Zardal'!G47/1000</f>
        <v>0</v>
      </c>
      <c r="H47" s="1165">
        <f>+'todruulga-Zardal'!H47:I47/1000</f>
        <v>0</v>
      </c>
      <c r="I47" s="1166"/>
    </row>
    <row r="48" spans="1:11">
      <c r="A48" s="350">
        <v>8</v>
      </c>
      <c r="B48" s="1129" t="s">
        <v>399</v>
      </c>
      <c r="C48" s="1129"/>
      <c r="D48" s="351"/>
      <c r="E48" s="1165">
        <v>8557</v>
      </c>
      <c r="F48" s="1166"/>
      <c r="G48" s="351">
        <f>+'todruulga-Zardal'!G48/1000</f>
        <v>0</v>
      </c>
      <c r="H48" s="1165">
        <f>+'todruulga-Zardal'!H48:I48/1000</f>
        <v>49544.179020000003</v>
      </c>
      <c r="I48" s="1166"/>
    </row>
    <row r="49" spans="1:11">
      <c r="A49" s="350">
        <v>9</v>
      </c>
      <c r="B49" s="1129" t="s">
        <v>400</v>
      </c>
      <c r="C49" s="1129"/>
      <c r="D49" s="351"/>
      <c r="E49" s="1165"/>
      <c r="F49" s="1166"/>
      <c r="G49" s="351">
        <f>+'todruulga-Zardal'!G49/1000</f>
        <v>0</v>
      </c>
      <c r="H49" s="1165">
        <f>+'todruulga-Zardal'!H49:I49/1000</f>
        <v>0</v>
      </c>
      <c r="I49" s="1166"/>
    </row>
    <row r="50" spans="1:11">
      <c r="A50" s="350">
        <v>10</v>
      </c>
      <c r="B50" s="1129" t="s">
        <v>401</v>
      </c>
      <c r="C50" s="1129"/>
      <c r="D50" s="351"/>
      <c r="E50" s="1165">
        <v>32894</v>
      </c>
      <c r="F50" s="1166"/>
      <c r="G50" s="351">
        <f>+'todruulga-Zardal'!G50/1000</f>
        <v>0</v>
      </c>
      <c r="H50" s="1165">
        <f>+'todruulga-Zardal'!H50:I50/1000</f>
        <v>314577.89763000002</v>
      </c>
      <c r="I50" s="1166"/>
    </row>
    <row r="51" spans="1:11">
      <c r="A51" s="350">
        <v>11</v>
      </c>
      <c r="B51" s="1129" t="s">
        <v>402</v>
      </c>
      <c r="C51" s="1129"/>
      <c r="D51" s="351">
        <v>50547</v>
      </c>
      <c r="E51" s="1165">
        <v>31281</v>
      </c>
      <c r="F51" s="1166"/>
      <c r="G51" s="351">
        <f>+'todruulga-Zardal'!G51/1000</f>
        <v>105900.00938000003</v>
      </c>
      <c r="H51" s="1165">
        <f>+'todruulga-Zardal'!H51:I51/1000</f>
        <v>163817.3186</v>
      </c>
      <c r="I51" s="1166"/>
    </row>
    <row r="52" spans="1:11">
      <c r="A52" s="350">
        <v>12</v>
      </c>
      <c r="B52" s="1129" t="s">
        <v>403</v>
      </c>
      <c r="C52" s="1129"/>
      <c r="D52" s="351">
        <v>68758</v>
      </c>
      <c r="E52" s="1165">
        <v>454489</v>
      </c>
      <c r="F52" s="1166"/>
      <c r="G52" s="351">
        <f>+'todruulga-Zardal'!G52/1000</f>
        <v>344899.75750000001</v>
      </c>
      <c r="H52" s="1165">
        <f>+'todruulga-Zardal'!H52:I52/1000</f>
        <v>190739.66117000001</v>
      </c>
      <c r="I52" s="1166"/>
    </row>
    <row r="53" spans="1:11">
      <c r="A53" s="350">
        <v>13</v>
      </c>
      <c r="B53" s="1129" t="s">
        <v>404</v>
      </c>
      <c r="C53" s="1129"/>
      <c r="D53" s="351">
        <v>113678</v>
      </c>
      <c r="E53" s="1165"/>
      <c r="F53" s="1166"/>
      <c r="G53" s="351">
        <f>+'todruulga-Zardal'!G53/1000</f>
        <v>291202.18038999988</v>
      </c>
      <c r="H53" s="1165">
        <f>+'todruulga-Zardal'!H53:I53/1000</f>
        <v>489539.23322000005</v>
      </c>
      <c r="I53" s="1166"/>
    </row>
    <row r="54" spans="1:11">
      <c r="A54" s="350">
        <v>14</v>
      </c>
      <c r="B54" s="1129" t="s">
        <v>405</v>
      </c>
      <c r="C54" s="1129"/>
      <c r="D54" s="351"/>
      <c r="E54" s="1165">
        <v>285720</v>
      </c>
      <c r="F54" s="1166"/>
      <c r="G54" s="351">
        <f>+'todruulga-Zardal'!G54/1000</f>
        <v>754077.81784454535</v>
      </c>
      <c r="H54" s="1165">
        <f>+'todruulga-Zardal'!H54:I54/1000</f>
        <v>0</v>
      </c>
      <c r="I54" s="1166"/>
    </row>
    <row r="55" spans="1:11">
      <c r="A55" s="350">
        <v>15</v>
      </c>
      <c r="B55" s="1129" t="s">
        <v>406</v>
      </c>
      <c r="C55" s="1129"/>
      <c r="D55" s="351"/>
      <c r="E55" s="1165">
        <v>173475</v>
      </c>
      <c r="F55" s="1166"/>
      <c r="G55" s="351">
        <f>+'todruulga-Zardal'!G55/1000</f>
        <v>0</v>
      </c>
      <c r="H55" s="1165">
        <f>+'todruulga-Zardal'!H55:I55/1000</f>
        <v>259846.58989999999</v>
      </c>
      <c r="I55" s="1166"/>
    </row>
    <row r="56" spans="1:11">
      <c r="A56" s="350">
        <v>16</v>
      </c>
      <c r="B56" s="1129" t="s">
        <v>407</v>
      </c>
      <c r="C56" s="1129"/>
      <c r="D56" s="351"/>
      <c r="E56" s="1165">
        <v>335322</v>
      </c>
      <c r="F56" s="1166"/>
      <c r="G56" s="351">
        <f>+'todruulga-Zardal'!G56/1000</f>
        <v>0</v>
      </c>
      <c r="H56" s="1165">
        <f>+'todruulga-Zardal'!H56:I56/1000</f>
        <v>0</v>
      </c>
      <c r="I56" s="1166"/>
    </row>
    <row r="57" spans="1:11">
      <c r="A57" s="350">
        <v>17</v>
      </c>
      <c r="B57" s="1129" t="s">
        <v>408</v>
      </c>
      <c r="C57" s="1129"/>
      <c r="D57" s="351">
        <v>52178</v>
      </c>
      <c r="E57" s="1165">
        <v>39669</v>
      </c>
      <c r="F57" s="1166"/>
      <c r="G57" s="351">
        <f>+'todruulga-Zardal'!G57/1000</f>
        <v>119199.1829</v>
      </c>
      <c r="H57" s="1165">
        <f>+'todruulga-Zardal'!H57:I57/1000</f>
        <v>0</v>
      </c>
      <c r="I57" s="1166"/>
    </row>
    <row r="58" spans="1:11">
      <c r="A58" s="350">
        <v>18</v>
      </c>
      <c r="B58" s="1129" t="s">
        <v>409</v>
      </c>
      <c r="C58" s="1129"/>
      <c r="D58" s="351"/>
      <c r="E58" s="1165"/>
      <c r="F58" s="1166"/>
      <c r="G58" s="351">
        <f>+'todruulga-Zardal'!G58/1000</f>
        <v>0</v>
      </c>
      <c r="H58" s="1165">
        <f>+'todruulga-Zardal'!H58:I58/1000</f>
        <v>122199.15120000001</v>
      </c>
      <c r="I58" s="1166"/>
    </row>
    <row r="59" spans="1:11">
      <c r="A59" s="350">
        <v>19</v>
      </c>
      <c r="B59" s="1129" t="s">
        <v>410</v>
      </c>
      <c r="C59" s="1129"/>
      <c r="D59" s="351"/>
      <c r="E59" s="1165"/>
      <c r="F59" s="1166"/>
      <c r="G59" s="351">
        <f>+'todruulga-Zardal'!G59/1000</f>
        <v>0</v>
      </c>
      <c r="H59" s="1165">
        <f>+'todruulga-Zardal'!H59:I59/1000</f>
        <v>0</v>
      </c>
      <c r="I59" s="1166"/>
    </row>
    <row r="60" spans="1:11">
      <c r="A60" s="350">
        <v>20</v>
      </c>
      <c r="B60" s="1129" t="s">
        <v>411</v>
      </c>
      <c r="C60" s="1129"/>
      <c r="D60" s="351">
        <v>680250</v>
      </c>
      <c r="E60" s="1165"/>
      <c r="F60" s="1166"/>
      <c r="G60" s="351">
        <f>+'todruulga-Zardal'!G60/1000</f>
        <v>3238716.4670800008</v>
      </c>
      <c r="H60" s="1165">
        <f>+'todruulga-Zardal'!H60:I60/1000</f>
        <v>0</v>
      </c>
      <c r="I60" s="1166"/>
    </row>
    <row r="61" spans="1:11">
      <c r="A61" s="350">
        <v>21</v>
      </c>
      <c r="B61" s="1129" t="s">
        <v>412</v>
      </c>
      <c r="C61" s="1129"/>
      <c r="D61" s="351"/>
      <c r="E61" s="1165"/>
      <c r="F61" s="1166"/>
      <c r="G61" s="351">
        <f>+'todruulga-Zardal'!G61/1000</f>
        <v>0</v>
      </c>
      <c r="H61" s="1165">
        <f>+'todruulga-Zardal'!H61:I61/1000</f>
        <v>7834921.0639700005</v>
      </c>
      <c r="I61" s="1166"/>
      <c r="K61" s="392">
        <f>+H61+H63+H64</f>
        <v>10160717.7991</v>
      </c>
    </row>
    <row r="62" spans="1:11">
      <c r="A62" s="350">
        <v>22</v>
      </c>
      <c r="B62" s="1129" t="s">
        <v>69</v>
      </c>
      <c r="C62" s="1129"/>
      <c r="D62" s="351"/>
      <c r="E62" s="1165"/>
      <c r="F62" s="1166"/>
      <c r="G62" s="351">
        <f>+'todruulga-Zardal'!G62/1000</f>
        <v>0</v>
      </c>
      <c r="H62" s="1165">
        <f>+'todruulga-Zardal'!H62:I62/1000</f>
        <v>121974.09553000001</v>
      </c>
      <c r="I62" s="1166"/>
    </row>
    <row r="63" spans="1:11">
      <c r="A63" s="350">
        <v>23</v>
      </c>
      <c r="B63" s="1129" t="s">
        <v>695</v>
      </c>
      <c r="C63" s="1129"/>
      <c r="D63" s="351"/>
      <c r="E63" s="1165"/>
      <c r="F63" s="1166"/>
      <c r="G63" s="351">
        <f>+'todruulga-Zardal'!G63/1000</f>
        <v>1259437.0000799999</v>
      </c>
      <c r="H63" s="1165">
        <f>+'todruulga-Zardal'!H63:I63/1000</f>
        <v>372686.99611000001</v>
      </c>
      <c r="I63" s="1166"/>
    </row>
    <row r="64" spans="1:11">
      <c r="A64" s="350">
        <v>24</v>
      </c>
      <c r="B64" s="1129" t="s">
        <v>413</v>
      </c>
      <c r="C64" s="1129"/>
      <c r="D64" s="351"/>
      <c r="E64" s="1165"/>
      <c r="F64" s="1166"/>
      <c r="G64" s="351">
        <f>+'todruulga-Zardal'!G64/1000</f>
        <v>0</v>
      </c>
      <c r="H64" s="1165">
        <f>+'todruulga-Zardal'!H64:I64/1000</f>
        <v>1953109.73902</v>
      </c>
      <c r="I64" s="1166"/>
    </row>
    <row r="65" spans="1:11">
      <c r="A65" s="1048" t="s">
        <v>309</v>
      </c>
      <c r="B65" s="1048"/>
      <c r="C65" s="1048"/>
      <c r="D65" s="352">
        <f>SUM(D41:D64)</f>
        <v>965411</v>
      </c>
      <c r="E65" s="1070">
        <f>SUM(E41:F64)</f>
        <v>5064363</v>
      </c>
      <c r="F65" s="1071"/>
      <c r="G65" s="353">
        <f>SUM(G41:G64)</f>
        <v>9302986.8884645477</v>
      </c>
      <c r="H65" s="1070">
        <f>SUM(H41:I64)</f>
        <v>15236063.283469999</v>
      </c>
      <c r="I65" s="1071"/>
      <c r="J65" s="354">
        <f>+income!D16/1000</f>
        <v>13047588.318359997</v>
      </c>
      <c r="K65" s="355">
        <f>+income!D15/1000</f>
        <v>61767482.448799774</v>
      </c>
    </row>
    <row r="66" spans="1:11">
      <c r="A66" s="20"/>
      <c r="B66" s="64"/>
      <c r="C66" s="64"/>
      <c r="D66" s="356"/>
      <c r="E66" s="357"/>
      <c r="F66" s="357"/>
      <c r="G66" s="357"/>
      <c r="H66" s="357"/>
      <c r="I66" s="337"/>
      <c r="J66" s="355">
        <f>+J65-H65</f>
        <v>-2188474.9651100021</v>
      </c>
      <c r="K66" s="355">
        <f>+K65-G65</f>
        <v>52464495.560335226</v>
      </c>
    </row>
    <row r="67" spans="1:11" ht="13.8">
      <c r="A67" s="20"/>
      <c r="B67" s="56" t="s">
        <v>414</v>
      </c>
      <c r="C67" s="19"/>
      <c r="D67" s="337"/>
      <c r="E67" s="337"/>
      <c r="F67" s="337"/>
      <c r="G67" s="337"/>
      <c r="H67" s="337"/>
      <c r="I67" s="337"/>
    </row>
    <row r="68" spans="1:11">
      <c r="A68" s="346" t="s">
        <v>79</v>
      </c>
      <c r="B68" s="1124" t="s">
        <v>389</v>
      </c>
      <c r="C68" s="1124"/>
      <c r="D68" s="1124"/>
      <c r="E68" s="1124"/>
      <c r="F68" s="1162" t="s">
        <v>379</v>
      </c>
      <c r="G68" s="1162"/>
      <c r="H68" s="1162" t="s">
        <v>380</v>
      </c>
      <c r="I68" s="1162"/>
    </row>
    <row r="69" spans="1:11">
      <c r="A69" s="347">
        <v>1</v>
      </c>
      <c r="B69" s="1136" t="s">
        <v>415</v>
      </c>
      <c r="C69" s="1136"/>
      <c r="D69" s="1136"/>
      <c r="E69" s="1136"/>
      <c r="F69" s="1161"/>
      <c r="G69" s="1161"/>
      <c r="H69" s="1161">
        <f>+'todruulga-Zardal'!H69:I69/1000</f>
        <v>0</v>
      </c>
      <c r="I69" s="1161"/>
    </row>
    <row r="70" spans="1:11">
      <c r="A70" s="347">
        <v>2</v>
      </c>
      <c r="B70" s="1026" t="s">
        <v>416</v>
      </c>
      <c r="C70" s="1026"/>
      <c r="D70" s="1026"/>
      <c r="E70" s="1026"/>
      <c r="F70" s="1168"/>
      <c r="G70" s="1168"/>
      <c r="H70" s="1161">
        <f>+'todruulga-Zardal'!H70:I70/1000</f>
        <v>2800</v>
      </c>
      <c r="I70" s="1161"/>
    </row>
    <row r="71" spans="1:11">
      <c r="A71" s="347">
        <v>3</v>
      </c>
      <c r="B71" s="1136" t="s">
        <v>417</v>
      </c>
      <c r="C71" s="1136"/>
      <c r="D71" s="1136"/>
      <c r="E71" s="1136"/>
      <c r="F71" s="1167"/>
      <c r="G71" s="1167"/>
      <c r="H71" s="1161">
        <f>+'todruulga-Zardal'!H71:I71/1000</f>
        <v>0</v>
      </c>
      <c r="I71" s="1161"/>
    </row>
    <row r="72" spans="1:11">
      <c r="A72" s="347">
        <v>4</v>
      </c>
      <c r="B72" s="1136" t="s">
        <v>418</v>
      </c>
      <c r="C72" s="1136"/>
      <c r="D72" s="1136"/>
      <c r="E72" s="1136"/>
      <c r="F72" s="1161"/>
      <c r="G72" s="1161"/>
      <c r="H72" s="1161">
        <f>+'todruulga-Zardal'!H72:I72/1000</f>
        <v>0</v>
      </c>
      <c r="I72" s="1161"/>
    </row>
    <row r="73" spans="1:11">
      <c r="A73" s="1124" t="s">
        <v>309</v>
      </c>
      <c r="B73" s="1124"/>
      <c r="C73" s="1124"/>
      <c r="D73" s="1124"/>
      <c r="E73" s="1124"/>
      <c r="F73" s="1163">
        <f>SUM(F69:G72)</f>
        <v>0</v>
      </c>
      <c r="G73" s="1163"/>
      <c r="H73" s="1163">
        <f>SUM(H69:I72)</f>
        <v>2800</v>
      </c>
      <c r="I73" s="1163"/>
      <c r="J73" s="355">
        <f>+income!D18/1000</f>
        <v>1094287.2621585121</v>
      </c>
      <c r="K73" s="358"/>
    </row>
    <row r="74" spans="1:11">
      <c r="A74" s="20"/>
      <c r="B74" s="19"/>
      <c r="C74" s="19"/>
      <c r="D74" s="337"/>
      <c r="E74" s="337"/>
      <c r="F74" s="337"/>
      <c r="G74" s="337"/>
      <c r="H74" s="337"/>
      <c r="I74" s="337"/>
      <c r="J74" s="355">
        <f>+J73-H73</f>
        <v>1091487.2621585121</v>
      </c>
      <c r="K74" s="358"/>
    </row>
    <row r="75" spans="1:11" ht="13.8">
      <c r="A75" s="20"/>
      <c r="B75" s="56" t="s">
        <v>419</v>
      </c>
      <c r="C75" s="19"/>
      <c r="D75" s="337"/>
      <c r="E75" s="337"/>
      <c r="F75" s="337"/>
      <c r="G75" s="337"/>
      <c r="H75" s="337"/>
      <c r="I75" s="337"/>
      <c r="J75" s="358"/>
      <c r="K75" s="358"/>
    </row>
    <row r="76" spans="1:11">
      <c r="A76" s="1025" t="s">
        <v>79</v>
      </c>
      <c r="B76" s="1025" t="s">
        <v>312</v>
      </c>
      <c r="C76" s="1025"/>
      <c r="D76" s="1025"/>
      <c r="E76" s="1169" t="s">
        <v>420</v>
      </c>
      <c r="F76" s="1162" t="s">
        <v>421</v>
      </c>
      <c r="G76" s="1162"/>
      <c r="H76" s="1162"/>
      <c r="I76" s="1162"/>
    </row>
    <row r="77" spans="1:11">
      <c r="A77" s="1025"/>
      <c r="B77" s="1025"/>
      <c r="C77" s="1025"/>
      <c r="D77" s="1025"/>
      <c r="E77" s="1169"/>
      <c r="F77" s="1084" t="s">
        <v>422</v>
      </c>
      <c r="G77" s="1084"/>
      <c r="H77" s="1084" t="s">
        <v>423</v>
      </c>
      <c r="I77" s="1084"/>
    </row>
    <row r="78" spans="1:11">
      <c r="A78" s="347">
        <v>1</v>
      </c>
      <c r="B78" s="1147" t="s">
        <v>424</v>
      </c>
      <c r="C78" s="1147"/>
      <c r="D78" s="1147"/>
      <c r="E78" s="359">
        <v>999</v>
      </c>
      <c r="F78" s="360">
        <v>1003</v>
      </c>
      <c r="G78" s="361">
        <v>7400828</v>
      </c>
      <c r="H78" s="1161">
        <f>+'todruulga-Zardal'!H78:I78/1000</f>
        <v>17062329.845970001</v>
      </c>
      <c r="I78" s="1161"/>
    </row>
    <row r="79" spans="1:11">
      <c r="A79" s="347">
        <v>2</v>
      </c>
      <c r="B79" s="1147" t="s">
        <v>425</v>
      </c>
      <c r="C79" s="1147"/>
      <c r="D79" s="1147"/>
      <c r="E79" s="359">
        <v>156</v>
      </c>
      <c r="F79" s="360">
        <v>145</v>
      </c>
      <c r="G79" s="360">
        <v>1489353</v>
      </c>
      <c r="H79" s="1161">
        <f>+'todruulga-Zardal'!H79:I79/1000</f>
        <v>2777097.712460001</v>
      </c>
      <c r="I79" s="1161"/>
    </row>
    <row r="80" spans="1:11">
      <c r="A80" s="347">
        <v>3</v>
      </c>
      <c r="B80" s="1147" t="s">
        <v>426</v>
      </c>
      <c r="C80" s="1147"/>
      <c r="D80" s="1147"/>
      <c r="E80" s="359">
        <f>264-E79</f>
        <v>108</v>
      </c>
      <c r="F80" s="360">
        <v>128</v>
      </c>
      <c r="G80" s="360">
        <v>1418085</v>
      </c>
      <c r="H80" s="1161">
        <f>+'todruulga-Zardal'!H80:I80/1000</f>
        <v>2059073.6338199996</v>
      </c>
      <c r="I80" s="1161"/>
    </row>
    <row r="81" spans="1:9">
      <c r="A81" s="1088" t="s">
        <v>82</v>
      </c>
      <c r="B81" s="1088"/>
      <c r="C81" s="1088"/>
      <c r="D81" s="1088"/>
      <c r="E81" s="362">
        <f>SUM(E78:E80)</f>
        <v>1263</v>
      </c>
      <c r="F81" s="362">
        <f>SUM(F78:F80)</f>
        <v>1276</v>
      </c>
      <c r="G81" s="362">
        <f>SUM(G78:G80)</f>
        <v>10308266</v>
      </c>
      <c r="H81" s="1163">
        <f>SUM(H78:I80)</f>
        <v>21898501.192250002</v>
      </c>
      <c r="I81" s="1163"/>
    </row>
    <row r="82" spans="1:9">
      <c r="A82" s="41"/>
      <c r="B82" s="41"/>
      <c r="C82" s="41"/>
      <c r="D82" s="342"/>
      <c r="E82" s="342"/>
      <c r="F82" s="363"/>
      <c r="G82" s="357"/>
      <c r="H82" s="357"/>
      <c r="I82" s="357"/>
    </row>
    <row r="83" spans="1:9">
      <c r="A83" s="21" t="s">
        <v>427</v>
      </c>
      <c r="B83" s="22"/>
      <c r="C83" s="22"/>
      <c r="D83" s="338"/>
      <c r="E83" s="338"/>
      <c r="F83" s="338"/>
      <c r="G83" s="338"/>
      <c r="H83" s="338"/>
      <c r="I83" s="338"/>
    </row>
    <row r="84" spans="1:9">
      <c r="A84" s="20"/>
      <c r="B84" s="19"/>
      <c r="C84" s="19"/>
      <c r="D84" s="337"/>
      <c r="E84" s="337"/>
      <c r="F84" s="337"/>
      <c r="G84" s="337"/>
      <c r="H84" s="337"/>
      <c r="I84" s="337"/>
    </row>
    <row r="85" spans="1:9">
      <c r="A85" s="329" t="s">
        <v>192</v>
      </c>
      <c r="B85" s="364" t="s">
        <v>5</v>
      </c>
      <c r="C85" s="365"/>
      <c r="D85" s="366"/>
      <c r="E85" s="367"/>
      <c r="F85" s="1174" t="s">
        <v>364</v>
      </c>
      <c r="G85" s="1175"/>
      <c r="H85" s="1174" t="s">
        <v>365</v>
      </c>
      <c r="I85" s="1175"/>
    </row>
    <row r="86" spans="1:9">
      <c r="A86" s="339">
        <v>1</v>
      </c>
      <c r="B86" s="368" t="s">
        <v>428</v>
      </c>
      <c r="C86" s="369"/>
      <c r="D86" s="370"/>
      <c r="E86" s="371"/>
      <c r="F86" s="1170">
        <v>2889864.3</v>
      </c>
      <c r="G86" s="1171"/>
      <c r="H86" s="1170">
        <f>+'todruulga-Zardal'!H86:I86/1000</f>
        <v>0</v>
      </c>
      <c r="I86" s="1171"/>
    </row>
    <row r="87" spans="1:9">
      <c r="A87" s="339">
        <v>2</v>
      </c>
      <c r="B87" s="368" t="s">
        <v>429</v>
      </c>
      <c r="C87" s="369"/>
      <c r="D87" s="370"/>
      <c r="E87" s="371"/>
      <c r="F87" s="1170">
        <v>-4344.3</v>
      </c>
      <c r="G87" s="1171"/>
      <c r="H87" s="1170">
        <f>+'todruulga-Zardal'!H87:I87/1000</f>
        <v>0</v>
      </c>
      <c r="I87" s="1171"/>
    </row>
    <row r="88" spans="1:9">
      <c r="A88" s="339">
        <v>3</v>
      </c>
      <c r="B88" s="368" t="s">
        <v>430</v>
      </c>
      <c r="C88" s="369"/>
      <c r="D88" s="370"/>
      <c r="E88" s="370"/>
      <c r="F88" s="1172">
        <f>SUM(F86:G87)</f>
        <v>2885520</v>
      </c>
      <c r="G88" s="1173"/>
      <c r="H88" s="1172">
        <f>SUM(H86:I87)</f>
        <v>0</v>
      </c>
      <c r="I88" s="1173"/>
    </row>
    <row r="89" spans="1:9">
      <c r="A89" s="20"/>
      <c r="B89" s="330" t="s">
        <v>431</v>
      </c>
      <c r="C89" s="26"/>
      <c r="D89" s="372"/>
      <c r="E89" s="372"/>
      <c r="F89" s="372"/>
      <c r="G89" s="372"/>
      <c r="H89" s="372"/>
      <c r="I89" s="372"/>
    </row>
    <row r="90" spans="1:9">
      <c r="A90" s="24"/>
      <c r="B90" s="24"/>
      <c r="C90" s="24"/>
      <c r="D90" s="373"/>
      <c r="E90" s="373"/>
      <c r="F90" s="373"/>
      <c r="G90" s="373"/>
      <c r="H90" s="373"/>
      <c r="I90" s="373"/>
    </row>
    <row r="91" spans="1:9" hidden="1">
      <c r="A91" s="1146"/>
      <c r="B91" s="1146"/>
      <c r="C91" s="1146"/>
      <c r="D91" s="1146"/>
      <c r="E91" s="1146"/>
      <c r="F91" s="1146"/>
      <c r="G91" s="1146"/>
      <c r="H91" s="1146"/>
      <c r="I91" s="1146"/>
    </row>
    <row r="92" spans="1:9" hidden="1">
      <c r="A92" s="1146"/>
      <c r="B92" s="1146"/>
      <c r="C92" s="1146"/>
      <c r="D92" s="1146"/>
      <c r="E92" s="1146"/>
      <c r="F92" s="1146"/>
      <c r="G92" s="1146"/>
      <c r="H92" s="1146"/>
      <c r="I92" s="1146"/>
    </row>
    <row r="93" spans="1:9" hidden="1">
      <c r="A93" s="1146"/>
      <c r="B93" s="1146"/>
      <c r="C93" s="1146"/>
      <c r="D93" s="1146"/>
      <c r="E93" s="1146"/>
      <c r="F93" s="1146"/>
      <c r="G93" s="1146"/>
      <c r="H93" s="1146"/>
      <c r="I93" s="1146"/>
    </row>
    <row r="94" spans="1:9" hidden="1">
      <c r="A94" s="1146"/>
      <c r="B94" s="1146"/>
      <c r="C94" s="1146"/>
      <c r="D94" s="1146"/>
      <c r="E94" s="1146"/>
      <c r="F94" s="1146"/>
      <c r="G94" s="1146"/>
      <c r="H94" s="1146"/>
      <c r="I94" s="1146"/>
    </row>
    <row r="95" spans="1:9">
      <c r="A95" s="1150"/>
      <c r="B95" s="1150"/>
      <c r="C95" s="1150"/>
      <c r="D95" s="1150"/>
      <c r="E95" s="1150"/>
      <c r="F95" s="1150"/>
      <c r="G95" s="1150"/>
      <c r="H95" s="1150"/>
      <c r="I95" s="1150"/>
    </row>
    <row r="96" spans="1:9">
      <c r="A96" s="1151" t="s">
        <v>432</v>
      </c>
      <c r="B96" s="1151"/>
      <c r="C96" s="1151"/>
      <c r="D96" s="1151"/>
      <c r="E96" s="1151"/>
      <c r="F96" s="1151"/>
      <c r="G96" s="1151"/>
      <c r="H96" s="1151"/>
      <c r="I96" s="1151"/>
    </row>
    <row r="97" spans="1:9">
      <c r="A97" s="43"/>
      <c r="B97" s="43"/>
      <c r="C97" s="43"/>
      <c r="D97" s="374"/>
      <c r="E97" s="374"/>
      <c r="F97" s="374"/>
      <c r="G97" s="374"/>
      <c r="H97" s="374"/>
      <c r="I97" s="374"/>
    </row>
    <row r="98" spans="1:9" ht="13.8">
      <c r="A98" s="43"/>
      <c r="B98" s="1152" t="s">
        <v>433</v>
      </c>
      <c r="C98" s="1152"/>
      <c r="D98" s="1152"/>
      <c r="E98" s="1152"/>
      <c r="F98" s="1152"/>
      <c r="G98" s="1152"/>
      <c r="H98" s="1152"/>
      <c r="I98" s="374"/>
    </row>
    <row r="99" spans="1:9">
      <c r="A99" s="20"/>
      <c r="B99" s="19"/>
      <c r="C99" s="19"/>
      <c r="D99" s="337"/>
      <c r="E99" s="337"/>
      <c r="F99" s="337"/>
      <c r="G99" s="337"/>
      <c r="H99" s="337"/>
      <c r="I99" s="337"/>
    </row>
    <row r="100" spans="1:9">
      <c r="A100" s="1088" t="s">
        <v>5</v>
      </c>
      <c r="B100" s="1088"/>
      <c r="C100" s="1088" t="s">
        <v>434</v>
      </c>
      <c r="D100" s="1088"/>
      <c r="E100" s="1169" t="s">
        <v>435</v>
      </c>
      <c r="F100" s="1169"/>
      <c r="G100" s="1169" t="s">
        <v>436</v>
      </c>
      <c r="H100" s="1169"/>
      <c r="I100" s="375" t="s">
        <v>437</v>
      </c>
    </row>
    <row r="101" spans="1:9">
      <c r="A101" s="1089" t="s">
        <v>438</v>
      </c>
      <c r="B101" s="1089"/>
      <c r="C101" s="1088"/>
      <c r="D101" s="1088"/>
      <c r="E101" s="1176"/>
      <c r="F101" s="1176"/>
      <c r="G101" s="1176"/>
      <c r="H101" s="1176"/>
      <c r="I101" s="376"/>
    </row>
    <row r="102" spans="1:9">
      <c r="A102" s="1121" t="s">
        <v>439</v>
      </c>
      <c r="B102" s="1121"/>
      <c r="C102" s="1088"/>
      <c r="D102" s="1088"/>
      <c r="E102" s="1176"/>
      <c r="F102" s="1176"/>
      <c r="G102" s="1176"/>
      <c r="H102" s="1176"/>
      <c r="I102" s="376"/>
    </row>
    <row r="103" spans="1:9">
      <c r="A103" s="1089" t="s">
        <v>440</v>
      </c>
      <c r="B103" s="1089"/>
      <c r="C103" s="1088"/>
      <c r="D103" s="1088"/>
      <c r="E103" s="1176"/>
      <c r="F103" s="1176"/>
      <c r="G103" s="1176"/>
      <c r="H103" s="1176"/>
      <c r="I103" s="376"/>
    </row>
    <row r="104" spans="1:9">
      <c r="A104" s="26"/>
      <c r="B104" s="26"/>
      <c r="C104" s="41"/>
      <c r="D104" s="342"/>
      <c r="E104" s="377"/>
      <c r="F104" s="377"/>
      <c r="G104" s="377"/>
      <c r="H104" s="377"/>
      <c r="I104" s="377"/>
    </row>
    <row r="105" spans="1:9">
      <c r="A105" s="26"/>
      <c r="B105" s="1093" t="s">
        <v>441</v>
      </c>
      <c r="C105" s="1093"/>
      <c r="D105" s="1093"/>
      <c r="E105" s="1093"/>
      <c r="F105" s="1093"/>
      <c r="G105" s="1093"/>
      <c r="H105" s="1093"/>
      <c r="I105" s="1093"/>
    </row>
    <row r="106" spans="1:9">
      <c r="A106" s="26"/>
      <c r="B106" s="26"/>
      <c r="C106" s="26"/>
      <c r="D106" s="377"/>
      <c r="E106" s="377"/>
      <c r="F106" s="377"/>
      <c r="G106" s="377"/>
      <c r="H106" s="377"/>
      <c r="I106" s="377"/>
    </row>
    <row r="107" spans="1:9" ht="13.8">
      <c r="A107" s="20"/>
      <c r="B107" s="1152" t="s">
        <v>442</v>
      </c>
      <c r="C107" s="1152"/>
      <c r="D107" s="1152"/>
      <c r="E107" s="1152"/>
      <c r="F107" s="1152"/>
      <c r="G107" s="1152"/>
      <c r="H107" s="337"/>
      <c r="I107" s="337"/>
    </row>
    <row r="108" spans="1:9">
      <c r="A108" s="20"/>
      <c r="B108" s="26"/>
      <c r="C108" s="26"/>
      <c r="D108" s="372"/>
      <c r="E108" s="372"/>
      <c r="F108" s="372"/>
      <c r="G108" s="372"/>
      <c r="H108" s="337"/>
      <c r="I108" s="337"/>
    </row>
    <row r="109" spans="1:9">
      <c r="A109" s="1085" t="s">
        <v>443</v>
      </c>
      <c r="B109" s="1085"/>
      <c r="C109" s="1085"/>
      <c r="D109" s="1085"/>
      <c r="E109" s="1085"/>
      <c r="F109" s="1085"/>
      <c r="G109" s="1085"/>
      <c r="H109" s="1085"/>
      <c r="I109" s="1085"/>
    </row>
    <row r="110" spans="1:9">
      <c r="A110" s="52"/>
      <c r="B110" s="345"/>
      <c r="C110" s="19"/>
      <c r="D110" s="337"/>
      <c r="E110" s="337"/>
      <c r="F110" s="378"/>
      <c r="G110" s="378"/>
      <c r="H110" s="378"/>
      <c r="I110" s="337"/>
    </row>
    <row r="111" spans="1:9">
      <c r="A111" s="39" t="s">
        <v>79</v>
      </c>
      <c r="B111" s="1088" t="s">
        <v>444</v>
      </c>
      <c r="C111" s="1088"/>
      <c r="D111" s="1088"/>
      <c r="E111" s="1088"/>
      <c r="F111" s="1162" t="s">
        <v>445</v>
      </c>
      <c r="G111" s="1162"/>
      <c r="H111" s="1162" t="s">
        <v>380</v>
      </c>
      <c r="I111" s="1162"/>
    </row>
    <row r="112" spans="1:9">
      <c r="A112" s="347">
        <v>1</v>
      </c>
      <c r="B112" s="1136" t="s">
        <v>446</v>
      </c>
      <c r="C112" s="1136"/>
      <c r="D112" s="1136"/>
      <c r="E112" s="1136"/>
      <c r="F112" s="1177"/>
      <c r="G112" s="1177"/>
      <c r="H112" s="1177"/>
      <c r="I112" s="1177"/>
    </row>
    <row r="113" spans="1:9">
      <c r="A113" s="347">
        <v>2</v>
      </c>
      <c r="B113" s="1026" t="s">
        <v>447</v>
      </c>
      <c r="C113" s="1026"/>
      <c r="D113" s="1026"/>
      <c r="E113" s="1026"/>
      <c r="F113" s="1177"/>
      <c r="G113" s="1177"/>
      <c r="H113" s="1177"/>
      <c r="I113" s="1177"/>
    </row>
    <row r="114" spans="1:9">
      <c r="A114" s="347">
        <v>3</v>
      </c>
      <c r="B114" s="1136" t="s">
        <v>448</v>
      </c>
      <c r="C114" s="1136"/>
      <c r="D114" s="1136"/>
      <c r="E114" s="1136"/>
      <c r="F114" s="1177"/>
      <c r="G114" s="1177"/>
      <c r="H114" s="1177"/>
      <c r="I114" s="1177"/>
    </row>
    <row r="115" spans="1:9">
      <c r="A115" s="347">
        <v>4</v>
      </c>
      <c r="B115" s="1154" t="s">
        <v>309</v>
      </c>
      <c r="C115" s="1154"/>
      <c r="D115" s="1154"/>
      <c r="E115" s="1154"/>
      <c r="F115" s="1163">
        <f>SUM(F112:G114)</f>
        <v>0</v>
      </c>
      <c r="G115" s="1163"/>
      <c r="H115" s="1163">
        <f>SUM(H112:I114)</f>
        <v>0</v>
      </c>
      <c r="I115" s="1163"/>
    </row>
    <row r="116" spans="1:9">
      <c r="A116" s="26"/>
      <c r="B116" s="26"/>
      <c r="C116" s="26"/>
      <c r="D116" s="377"/>
      <c r="E116" s="377"/>
      <c r="F116" s="377"/>
      <c r="G116" s="377"/>
      <c r="H116" s="377"/>
      <c r="I116" s="377"/>
    </row>
    <row r="117" spans="1:9">
      <c r="A117" s="26"/>
      <c r="B117" s="1155" t="s">
        <v>449</v>
      </c>
      <c r="C117" s="1155"/>
      <c r="D117" s="1155"/>
      <c r="E117" s="1155"/>
      <c r="F117" s="1155"/>
      <c r="G117" s="1155"/>
      <c r="H117" s="1155"/>
      <c r="I117" s="1155"/>
    </row>
    <row r="118" spans="1:9">
      <c r="A118" s="26"/>
      <c r="B118" s="26"/>
      <c r="C118" s="26"/>
      <c r="D118" s="377"/>
      <c r="E118" s="377"/>
      <c r="F118" s="377"/>
      <c r="G118" s="377"/>
      <c r="H118" s="377"/>
      <c r="I118" s="377"/>
    </row>
    <row r="119" spans="1:9" ht="13.8">
      <c r="A119" s="20"/>
      <c r="B119" s="1152" t="s">
        <v>450</v>
      </c>
      <c r="C119" s="1152"/>
      <c r="D119" s="1152"/>
      <c r="E119" s="1152"/>
      <c r="F119" s="1152"/>
      <c r="G119" s="1152"/>
      <c r="H119" s="337"/>
      <c r="I119" s="337"/>
    </row>
    <row r="120" spans="1:9">
      <c r="A120" s="20"/>
      <c r="B120" s="26"/>
      <c r="C120" s="26"/>
      <c r="D120" s="372"/>
      <c r="E120" s="372"/>
      <c r="F120" s="372"/>
      <c r="G120" s="372"/>
      <c r="H120" s="337"/>
      <c r="I120" s="337"/>
    </row>
    <row r="121" spans="1:9">
      <c r="A121" s="27" t="s">
        <v>192</v>
      </c>
      <c r="B121" s="985" t="s">
        <v>451</v>
      </c>
      <c r="C121" s="987"/>
      <c r="D121" s="1178" t="s">
        <v>452</v>
      </c>
      <c r="E121" s="1178"/>
      <c r="F121" s="1178" t="s">
        <v>453</v>
      </c>
      <c r="G121" s="1178"/>
      <c r="H121" s="1084" t="s">
        <v>454</v>
      </c>
      <c r="I121" s="1084"/>
    </row>
    <row r="122" spans="1:9">
      <c r="A122" s="379">
        <v>1</v>
      </c>
      <c r="B122" s="1157"/>
      <c r="C122" s="1158"/>
      <c r="D122" s="1177"/>
      <c r="E122" s="1177"/>
      <c r="F122" s="1179"/>
      <c r="G122" s="1179"/>
      <c r="H122" s="1177"/>
      <c r="I122" s="1177"/>
    </row>
    <row r="123" spans="1:9">
      <c r="A123" s="379">
        <v>2</v>
      </c>
      <c r="B123" s="1157"/>
      <c r="C123" s="1158"/>
      <c r="D123" s="1177"/>
      <c r="E123" s="1177"/>
      <c r="F123" s="1177"/>
      <c r="G123" s="1177"/>
      <c r="H123" s="1177"/>
      <c r="I123" s="1177"/>
    </row>
    <row r="124" spans="1:9">
      <c r="A124" s="20"/>
      <c r="B124" s="19"/>
      <c r="C124" s="19"/>
      <c r="D124" s="337"/>
      <c r="E124" s="337"/>
      <c r="F124" s="337"/>
      <c r="G124" s="337"/>
      <c r="H124" s="337"/>
      <c r="I124" s="337"/>
    </row>
    <row r="125" spans="1:9">
      <c r="A125" s="1156" t="s">
        <v>455</v>
      </c>
      <c r="B125" s="1156"/>
      <c r="C125" s="1156"/>
      <c r="D125" s="1156"/>
      <c r="E125" s="1156"/>
      <c r="F125" s="1156"/>
      <c r="G125" s="1156"/>
      <c r="H125" s="1156"/>
      <c r="I125" s="1156"/>
    </row>
    <row r="126" spans="1:9">
      <c r="A126" s="20"/>
      <c r="B126" s="19"/>
      <c r="C126" s="19"/>
      <c r="D126" s="337"/>
      <c r="E126" s="337"/>
      <c r="F126" s="337"/>
      <c r="G126" s="337"/>
      <c r="H126" s="337"/>
      <c r="I126" s="337"/>
    </row>
    <row r="127" spans="1:9">
      <c r="A127" s="1023" t="s">
        <v>456</v>
      </c>
      <c r="B127" s="1023"/>
      <c r="C127" s="1023"/>
      <c r="D127" s="1023"/>
      <c r="E127" s="1023"/>
      <c r="F127" s="1023"/>
      <c r="G127" s="1023"/>
      <c r="H127" s="1023"/>
      <c r="I127" s="1023"/>
    </row>
    <row r="128" spans="1:9">
      <c r="A128" s="1023"/>
      <c r="B128" s="1023"/>
      <c r="C128" s="1023"/>
      <c r="D128" s="1023"/>
      <c r="E128" s="1023"/>
      <c r="F128" s="1023"/>
      <c r="G128" s="1023"/>
      <c r="H128" s="1023"/>
      <c r="I128" s="1023"/>
    </row>
    <row r="129" spans="1:9">
      <c r="A129" s="1146"/>
      <c r="B129" s="1146"/>
      <c r="C129" s="1146"/>
      <c r="D129" s="1146"/>
      <c r="E129" s="1146"/>
      <c r="F129" s="1146"/>
      <c r="G129" s="1146"/>
      <c r="H129" s="1146"/>
      <c r="I129" s="1146"/>
    </row>
    <row r="130" spans="1:9">
      <c r="A130" s="1146" t="s">
        <v>190</v>
      </c>
      <c r="B130" s="1146"/>
      <c r="C130" s="1146"/>
      <c r="D130" s="1146"/>
      <c r="E130" s="1146"/>
      <c r="F130" s="1146"/>
      <c r="G130" s="1146"/>
      <c r="H130" s="1146"/>
      <c r="I130" s="1146"/>
    </row>
    <row r="131" spans="1:9">
      <c r="A131" s="1146"/>
      <c r="B131" s="1146"/>
      <c r="C131" s="1146"/>
      <c r="D131" s="1146"/>
      <c r="E131" s="1146"/>
      <c r="F131" s="1146"/>
      <c r="G131" s="1146"/>
      <c r="H131" s="1146"/>
      <c r="I131" s="1146"/>
    </row>
    <row r="132" spans="1:9" hidden="1">
      <c r="A132" s="1146"/>
      <c r="B132" s="1146"/>
      <c r="C132" s="1146"/>
      <c r="D132" s="1146"/>
      <c r="E132" s="1146"/>
      <c r="F132" s="1146"/>
      <c r="G132" s="1146"/>
      <c r="H132" s="1146"/>
      <c r="I132" s="1146"/>
    </row>
    <row r="133" spans="1:9" hidden="1">
      <c r="A133" s="1146"/>
      <c r="B133" s="1146"/>
      <c r="C133" s="1146"/>
      <c r="D133" s="1146"/>
      <c r="E133" s="1146"/>
      <c r="F133" s="1146"/>
      <c r="G133" s="1146"/>
      <c r="H133" s="1146"/>
      <c r="I133" s="1146"/>
    </row>
    <row r="134" spans="1:9">
      <c r="A134" s="20"/>
      <c r="B134" s="19"/>
      <c r="C134" s="19"/>
      <c r="D134" s="337"/>
      <c r="E134" s="337"/>
      <c r="F134" s="337"/>
      <c r="G134" s="337"/>
      <c r="H134" s="337"/>
      <c r="I134" s="337"/>
    </row>
    <row r="135" spans="1:9">
      <c r="A135" s="1156" t="s">
        <v>457</v>
      </c>
      <c r="B135" s="1156"/>
      <c r="C135" s="1156"/>
      <c r="D135" s="1156"/>
      <c r="E135" s="1156"/>
      <c r="F135" s="1156"/>
      <c r="G135" s="1156"/>
      <c r="H135" s="1156"/>
      <c r="I135" s="1156"/>
    </row>
    <row r="136" spans="1:9">
      <c r="A136" s="20"/>
      <c r="B136" s="19"/>
      <c r="C136" s="19"/>
      <c r="D136" s="337"/>
      <c r="E136" s="337"/>
      <c r="F136" s="337"/>
      <c r="G136" s="337"/>
      <c r="H136" s="337"/>
      <c r="I136" s="337"/>
    </row>
    <row r="137" spans="1:9">
      <c r="A137" s="1023" t="s">
        <v>458</v>
      </c>
      <c r="B137" s="1023"/>
      <c r="C137" s="1023"/>
      <c r="D137" s="1023"/>
      <c r="E137" s="1023"/>
      <c r="F137" s="1023"/>
      <c r="G137" s="1023"/>
      <c r="H137" s="1023"/>
      <c r="I137" s="1023"/>
    </row>
    <row r="138" spans="1:9">
      <c r="A138" s="1023"/>
      <c r="B138" s="1023"/>
      <c r="C138" s="1023"/>
      <c r="D138" s="1023"/>
      <c r="E138" s="1023"/>
      <c r="F138" s="1023"/>
      <c r="G138" s="1023"/>
      <c r="H138" s="1023"/>
      <c r="I138" s="1023"/>
    </row>
    <row r="139" spans="1:9">
      <c r="A139" s="1146"/>
      <c r="B139" s="1146"/>
      <c r="C139" s="1146"/>
      <c r="D139" s="1146"/>
      <c r="E139" s="1146"/>
      <c r="F139" s="1146"/>
      <c r="G139" s="1146"/>
      <c r="H139" s="1146"/>
      <c r="I139" s="1146"/>
    </row>
    <row r="140" spans="1:9">
      <c r="A140" s="1146" t="s">
        <v>793</v>
      </c>
      <c r="B140" s="1146"/>
      <c r="C140" s="1146"/>
      <c r="D140" s="1146"/>
      <c r="E140" s="1146"/>
      <c r="F140" s="1146"/>
      <c r="G140" s="1146"/>
      <c r="H140" s="1146"/>
      <c r="I140" s="1146"/>
    </row>
    <row r="141" spans="1:9">
      <c r="A141" s="1146"/>
      <c r="B141" s="1146"/>
      <c r="C141" s="1146"/>
      <c r="D141" s="1146"/>
      <c r="E141" s="1146"/>
      <c r="F141" s="1146"/>
      <c r="G141" s="1146"/>
      <c r="H141" s="1146"/>
      <c r="I141" s="1146"/>
    </row>
    <row r="142" spans="1:9" hidden="1">
      <c r="A142" s="1146"/>
      <c r="B142" s="1146"/>
      <c r="C142" s="1146"/>
      <c r="D142" s="1146"/>
      <c r="E142" s="1146"/>
      <c r="F142" s="1146"/>
      <c r="G142" s="1146"/>
      <c r="H142" s="1146"/>
      <c r="I142" s="1146"/>
    </row>
    <row r="143" spans="1:9" hidden="1">
      <c r="A143" s="1146"/>
      <c r="B143" s="1146"/>
      <c r="C143" s="1146"/>
      <c r="D143" s="1146"/>
      <c r="E143" s="1146"/>
      <c r="F143" s="1146"/>
      <c r="G143" s="1146"/>
      <c r="H143" s="1146"/>
      <c r="I143" s="1146"/>
    </row>
    <row r="144" spans="1:9">
      <c r="A144" s="1146"/>
      <c r="B144" s="1146"/>
      <c r="C144" s="1146"/>
      <c r="D144" s="1146"/>
      <c r="E144" s="1146"/>
      <c r="F144" s="1146"/>
      <c r="G144" s="1146"/>
      <c r="H144" s="1146"/>
      <c r="I144" s="1146"/>
    </row>
  </sheetData>
  <mergeCells count="257">
    <mergeCell ref="A142:I142"/>
    <mergeCell ref="A143:I143"/>
    <mergeCell ref="A144:I144"/>
    <mergeCell ref="A133:I133"/>
    <mergeCell ref="A135:I135"/>
    <mergeCell ref="A137:I138"/>
    <mergeCell ref="A139:I139"/>
    <mergeCell ref="A140:I140"/>
    <mergeCell ref="A141:I141"/>
    <mergeCell ref="A125:I125"/>
    <mergeCell ref="A127:I128"/>
    <mergeCell ref="A129:I129"/>
    <mergeCell ref="A130:I130"/>
    <mergeCell ref="A131:I131"/>
    <mergeCell ref="A132:I132"/>
    <mergeCell ref="B122:C122"/>
    <mergeCell ref="D122:E122"/>
    <mergeCell ref="F122:G122"/>
    <mergeCell ref="H122:I122"/>
    <mergeCell ref="B123:C123"/>
    <mergeCell ref="D123:E123"/>
    <mergeCell ref="F123:G123"/>
    <mergeCell ref="H123:I123"/>
    <mergeCell ref="B115:E115"/>
    <mergeCell ref="F115:G115"/>
    <mergeCell ref="H115:I115"/>
    <mergeCell ref="B117:I117"/>
    <mergeCell ref="B119:G119"/>
    <mergeCell ref="B121:C121"/>
    <mergeCell ref="D121:E121"/>
    <mergeCell ref="F121:G121"/>
    <mergeCell ref="H121:I121"/>
    <mergeCell ref="B113:E113"/>
    <mergeCell ref="F113:G113"/>
    <mergeCell ref="H113:I113"/>
    <mergeCell ref="B114:E114"/>
    <mergeCell ref="F114:G114"/>
    <mergeCell ref="H114:I114"/>
    <mergeCell ref="A109:I109"/>
    <mergeCell ref="B111:E111"/>
    <mergeCell ref="F111:G111"/>
    <mergeCell ref="H111:I111"/>
    <mergeCell ref="B112:E112"/>
    <mergeCell ref="F112:G112"/>
    <mergeCell ref="H112:I112"/>
    <mergeCell ref="A103:B103"/>
    <mergeCell ref="C103:D103"/>
    <mergeCell ref="E103:F103"/>
    <mergeCell ref="G103:H103"/>
    <mergeCell ref="B105:I105"/>
    <mergeCell ref="B107:G107"/>
    <mergeCell ref="A101:B101"/>
    <mergeCell ref="C101:D101"/>
    <mergeCell ref="E101:F101"/>
    <mergeCell ref="G101:H101"/>
    <mergeCell ref="A102:B102"/>
    <mergeCell ref="C102:D102"/>
    <mergeCell ref="E102:F102"/>
    <mergeCell ref="G102:H102"/>
    <mergeCell ref="A93:I93"/>
    <mergeCell ref="A94:I94"/>
    <mergeCell ref="A95:I95"/>
    <mergeCell ref="A96:I96"/>
    <mergeCell ref="B98:H98"/>
    <mergeCell ref="A100:B100"/>
    <mergeCell ref="C100:D100"/>
    <mergeCell ref="E100:F100"/>
    <mergeCell ref="G100:H100"/>
    <mergeCell ref="F87:G87"/>
    <mergeCell ref="H87:I87"/>
    <mergeCell ref="F88:G88"/>
    <mergeCell ref="H88:I88"/>
    <mergeCell ref="A91:I91"/>
    <mergeCell ref="A92:I92"/>
    <mergeCell ref="A81:D81"/>
    <mergeCell ref="H81:I81"/>
    <mergeCell ref="F85:G85"/>
    <mergeCell ref="H85:I85"/>
    <mergeCell ref="F86:G86"/>
    <mergeCell ref="H86:I86"/>
    <mergeCell ref="B78:D78"/>
    <mergeCell ref="H78:I78"/>
    <mergeCell ref="B79:D79"/>
    <mergeCell ref="H79:I79"/>
    <mergeCell ref="B80:D80"/>
    <mergeCell ref="H80:I80"/>
    <mergeCell ref="A73:E73"/>
    <mergeCell ref="F73:G73"/>
    <mergeCell ref="H73:I73"/>
    <mergeCell ref="A76:A77"/>
    <mergeCell ref="B76:D77"/>
    <mergeCell ref="E76:E77"/>
    <mergeCell ref="F76:I76"/>
    <mergeCell ref="F77:G77"/>
    <mergeCell ref="H77:I77"/>
    <mergeCell ref="B71:E71"/>
    <mergeCell ref="F71:G71"/>
    <mergeCell ref="H71:I71"/>
    <mergeCell ref="B72:E72"/>
    <mergeCell ref="F72:G72"/>
    <mergeCell ref="H72:I72"/>
    <mergeCell ref="B69:E69"/>
    <mergeCell ref="F69:G69"/>
    <mergeCell ref="H69:I69"/>
    <mergeCell ref="B70:E70"/>
    <mergeCell ref="F70:G70"/>
    <mergeCell ref="H70:I70"/>
    <mergeCell ref="A65:C65"/>
    <mergeCell ref="E65:F65"/>
    <mergeCell ref="H65:I65"/>
    <mergeCell ref="B68:E68"/>
    <mergeCell ref="F68:G68"/>
    <mergeCell ref="H68:I68"/>
    <mergeCell ref="B63:C63"/>
    <mergeCell ref="E63:F63"/>
    <mergeCell ref="H63:I63"/>
    <mergeCell ref="B64:C64"/>
    <mergeCell ref="E64:F64"/>
    <mergeCell ref="H64:I64"/>
    <mergeCell ref="B61:C61"/>
    <mergeCell ref="E61:F61"/>
    <mergeCell ref="H61:I61"/>
    <mergeCell ref="B62:C62"/>
    <mergeCell ref="E62:F62"/>
    <mergeCell ref="H62:I62"/>
    <mergeCell ref="B59:C59"/>
    <mergeCell ref="E59:F59"/>
    <mergeCell ref="H59:I59"/>
    <mergeCell ref="B60:C60"/>
    <mergeCell ref="E60:F60"/>
    <mergeCell ref="H60:I60"/>
    <mergeCell ref="B57:C57"/>
    <mergeCell ref="E57:F57"/>
    <mergeCell ref="H57:I57"/>
    <mergeCell ref="B58:C58"/>
    <mergeCell ref="E58:F58"/>
    <mergeCell ref="H58:I58"/>
    <mergeCell ref="B55:C55"/>
    <mergeCell ref="E55:F55"/>
    <mergeCell ref="H55:I55"/>
    <mergeCell ref="B56:C56"/>
    <mergeCell ref="E56:F56"/>
    <mergeCell ref="H56:I56"/>
    <mergeCell ref="B53:C53"/>
    <mergeCell ref="E53:F53"/>
    <mergeCell ref="H53:I53"/>
    <mergeCell ref="B54:C54"/>
    <mergeCell ref="E54:F54"/>
    <mergeCell ref="H54:I54"/>
    <mergeCell ref="B51:C51"/>
    <mergeCell ref="E51:F51"/>
    <mergeCell ref="H51:I51"/>
    <mergeCell ref="B52:C52"/>
    <mergeCell ref="E52:F52"/>
    <mergeCell ref="H52:I52"/>
    <mergeCell ref="B49:C49"/>
    <mergeCell ref="E49:F49"/>
    <mergeCell ref="H49:I49"/>
    <mergeCell ref="B50:C50"/>
    <mergeCell ref="E50:F50"/>
    <mergeCell ref="H50:I50"/>
    <mergeCell ref="B47:C47"/>
    <mergeCell ref="E47:F47"/>
    <mergeCell ref="H47:I47"/>
    <mergeCell ref="B48:C48"/>
    <mergeCell ref="E48:F48"/>
    <mergeCell ref="H48:I48"/>
    <mergeCell ref="B45:C45"/>
    <mergeCell ref="E45:F45"/>
    <mergeCell ref="H45:I45"/>
    <mergeCell ref="B46:C46"/>
    <mergeCell ref="E46:F46"/>
    <mergeCell ref="H46:I46"/>
    <mergeCell ref="B43:C43"/>
    <mergeCell ref="E43:F43"/>
    <mergeCell ref="H43:I43"/>
    <mergeCell ref="B44:C44"/>
    <mergeCell ref="E44:F44"/>
    <mergeCell ref="H44:I44"/>
    <mergeCell ref="B41:C41"/>
    <mergeCell ref="E41:F41"/>
    <mergeCell ref="H41:I41"/>
    <mergeCell ref="B42:C42"/>
    <mergeCell ref="E42:F42"/>
    <mergeCell ref="H42:I42"/>
    <mergeCell ref="A33:E33"/>
    <mergeCell ref="F33:G33"/>
    <mergeCell ref="H33:I33"/>
    <mergeCell ref="A39:A40"/>
    <mergeCell ref="B39:C40"/>
    <mergeCell ref="D39:F39"/>
    <mergeCell ref="G39:I39"/>
    <mergeCell ref="E40:F40"/>
    <mergeCell ref="H40:I40"/>
    <mergeCell ref="B31:E31"/>
    <mergeCell ref="F31:G31"/>
    <mergeCell ref="H31:I31"/>
    <mergeCell ref="B32:E32"/>
    <mergeCell ref="F32:G32"/>
    <mergeCell ref="H32:I32"/>
    <mergeCell ref="B29:E29"/>
    <mergeCell ref="F29:G29"/>
    <mergeCell ref="H29:I29"/>
    <mergeCell ref="B30:E30"/>
    <mergeCell ref="F30:G30"/>
    <mergeCell ref="H30:I30"/>
    <mergeCell ref="A24:C24"/>
    <mergeCell ref="D24:F24"/>
    <mergeCell ref="G24:I24"/>
    <mergeCell ref="B28:E28"/>
    <mergeCell ref="F28:G28"/>
    <mergeCell ref="H28:I28"/>
    <mergeCell ref="B21:C21"/>
    <mergeCell ref="D21:F21"/>
    <mergeCell ref="G21:I21"/>
    <mergeCell ref="B23:C23"/>
    <mergeCell ref="D23:F23"/>
    <mergeCell ref="G23:I23"/>
    <mergeCell ref="B22:C22"/>
    <mergeCell ref="D22:F22"/>
    <mergeCell ref="G22:I22"/>
    <mergeCell ref="B14:C14"/>
    <mergeCell ref="D14:F14"/>
    <mergeCell ref="G14:I14"/>
    <mergeCell ref="B20:C20"/>
    <mergeCell ref="D20:F20"/>
    <mergeCell ref="G20:I20"/>
    <mergeCell ref="B12:C12"/>
    <mergeCell ref="D12:F12"/>
    <mergeCell ref="G12:I12"/>
    <mergeCell ref="B13:C13"/>
    <mergeCell ref="D13:F13"/>
    <mergeCell ref="G13:I13"/>
    <mergeCell ref="B10:C10"/>
    <mergeCell ref="D10:F10"/>
    <mergeCell ref="G10:I10"/>
    <mergeCell ref="B11:C11"/>
    <mergeCell ref="D11:F11"/>
    <mergeCell ref="G11:I11"/>
    <mergeCell ref="B8:C8"/>
    <mergeCell ref="D8:F8"/>
    <mergeCell ref="G8:I8"/>
    <mergeCell ref="B9:C9"/>
    <mergeCell ref="D9:F9"/>
    <mergeCell ref="G9:I9"/>
    <mergeCell ref="B6:C6"/>
    <mergeCell ref="D6:F6"/>
    <mergeCell ref="G6:I6"/>
    <mergeCell ref="B7:C7"/>
    <mergeCell ref="D7:F7"/>
    <mergeCell ref="G7:I7"/>
    <mergeCell ref="B4:C4"/>
    <mergeCell ref="D4:F4"/>
    <mergeCell ref="G4:I4"/>
    <mergeCell ref="B5:C5"/>
    <mergeCell ref="D5:F5"/>
    <mergeCell ref="G5:I5"/>
  </mergeCells>
  <pageMargins left="0.35" right="0.16" top="0.39" bottom="0.26" header="0.3" footer="0.19"/>
  <pageSetup paperSize="9" scale="92" fitToHeight="2"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O42"/>
  <sheetViews>
    <sheetView topLeftCell="H4" workbookViewId="0">
      <selection activeCell="G43" activeCellId="1" sqref="B5:C5 G43"/>
    </sheetView>
  </sheetViews>
  <sheetFormatPr defaultColWidth="9.109375" defaultRowHeight="10.8"/>
  <cols>
    <col min="1" max="1" width="9.109375" style="765"/>
    <col min="2" max="2" width="26.44140625" style="765" customWidth="1"/>
    <col min="3" max="3" width="17" style="765" bestFit="1" customWidth="1"/>
    <col min="4" max="4" width="16" style="765" bestFit="1" customWidth="1"/>
    <col min="5" max="6" width="8.88671875" style="765" bestFit="1" customWidth="1"/>
    <col min="7" max="7" width="16" style="765" bestFit="1" customWidth="1"/>
    <col min="8" max="10" width="9.109375" style="765"/>
    <col min="11" max="12" width="8" style="765" bestFit="1" customWidth="1"/>
    <col min="13" max="13" width="15.109375" style="765" bestFit="1" customWidth="1"/>
    <col min="14" max="14" width="15" style="765" bestFit="1" customWidth="1"/>
    <col min="15" max="16384" width="9.109375" style="765"/>
  </cols>
  <sheetData>
    <row r="2" spans="1:15">
      <c r="A2" s="1182" t="s">
        <v>459</v>
      </c>
      <c r="B2" s="1182"/>
      <c r="C2" s="1182"/>
      <c r="D2" s="1182"/>
      <c r="E2" s="1182"/>
      <c r="F2" s="1182"/>
      <c r="G2" s="1182"/>
      <c r="H2" s="1182"/>
      <c r="I2" s="1182"/>
      <c r="J2" s="1182"/>
      <c r="K2" s="764"/>
      <c r="L2" s="764"/>
      <c r="M2" s="764"/>
      <c r="N2" s="764"/>
    </row>
    <row r="3" spans="1:15">
      <c r="A3" s="766"/>
      <c r="B3" s="766"/>
      <c r="C3" s="766"/>
      <c r="D3" s="766"/>
      <c r="E3" s="766"/>
      <c r="F3" s="766"/>
      <c r="G3" s="766"/>
      <c r="H3" s="766"/>
      <c r="I3" s="766"/>
      <c r="J3" s="766"/>
      <c r="K3" s="767"/>
      <c r="L3" s="767"/>
      <c r="M3" s="767"/>
      <c r="N3" s="767"/>
    </row>
    <row r="4" spans="1:15">
      <c r="A4" s="768"/>
      <c r="B4" s="768"/>
      <c r="C4" s="768"/>
      <c r="D4" s="768"/>
      <c r="E4" s="768"/>
      <c r="F4" s="768"/>
      <c r="G4" s="768"/>
      <c r="H4" s="768"/>
      <c r="I4" s="768"/>
      <c r="J4" s="768"/>
      <c r="K4" s="767"/>
      <c r="L4" s="767"/>
      <c r="M4" s="767"/>
      <c r="N4" s="767"/>
    </row>
    <row r="5" spans="1:15">
      <c r="A5" s="1183" t="s">
        <v>79</v>
      </c>
      <c r="B5" s="1180" t="s">
        <v>5</v>
      </c>
      <c r="C5" s="1180" t="s">
        <v>194</v>
      </c>
      <c r="D5" s="1185" t="s">
        <v>460</v>
      </c>
      <c r="E5" s="1186"/>
      <c r="F5" s="1186"/>
      <c r="G5" s="1186"/>
      <c r="H5" s="1186"/>
      <c r="I5" s="1186"/>
      <c r="J5" s="1186"/>
      <c r="K5" s="1186"/>
      <c r="L5" s="1186"/>
      <c r="M5" s="1186"/>
      <c r="N5" s="1180" t="s">
        <v>195</v>
      </c>
    </row>
    <row r="6" spans="1:15" ht="43.2">
      <c r="A6" s="1184"/>
      <c r="B6" s="1181"/>
      <c r="C6" s="1181"/>
      <c r="D6" s="769" t="s">
        <v>461</v>
      </c>
      <c r="E6" s="769" t="s">
        <v>462</v>
      </c>
      <c r="F6" s="769" t="s">
        <v>463</v>
      </c>
      <c r="G6" s="769" t="s">
        <v>464</v>
      </c>
      <c r="H6" s="769" t="s">
        <v>465</v>
      </c>
      <c r="I6" s="769" t="s">
        <v>466</v>
      </c>
      <c r="J6" s="769" t="s">
        <v>467</v>
      </c>
      <c r="K6" s="769" t="s">
        <v>468</v>
      </c>
      <c r="L6" s="769" t="s">
        <v>469</v>
      </c>
      <c r="M6" s="770" t="s">
        <v>199</v>
      </c>
      <c r="N6" s="1181"/>
    </row>
    <row r="7" spans="1:15">
      <c r="A7" s="771">
        <v>1</v>
      </c>
      <c r="B7" s="772" t="s">
        <v>470</v>
      </c>
      <c r="C7" s="773"/>
      <c r="D7" s="773"/>
      <c r="E7" s="773"/>
      <c r="F7" s="773"/>
      <c r="G7" s="773"/>
      <c r="H7" s="773"/>
      <c r="I7" s="773"/>
      <c r="J7" s="773"/>
      <c r="K7" s="774"/>
      <c r="L7" s="774"/>
      <c r="M7" s="775">
        <f t="shared" ref="M7:M18" si="0">SUM(D7:L7)</f>
        <v>0</v>
      </c>
      <c r="N7" s="775">
        <f t="shared" ref="N7:N18" si="1">SUM(C7+M7)</f>
        <v>0</v>
      </c>
      <c r="O7" s="788"/>
    </row>
    <row r="8" spans="1:15">
      <c r="A8" s="776">
        <v>1.1000000000000001</v>
      </c>
      <c r="B8" s="777" t="s">
        <v>248</v>
      </c>
      <c r="C8" s="778">
        <v>2576719200</v>
      </c>
      <c r="D8" s="773"/>
      <c r="E8" s="773"/>
      <c r="F8" s="773"/>
      <c r="G8" s="773"/>
      <c r="H8" s="773"/>
      <c r="I8" s="773"/>
      <c r="J8" s="773"/>
      <c r="K8" s="774"/>
      <c r="L8" s="774"/>
      <c r="M8" s="775">
        <f t="shared" si="0"/>
        <v>0</v>
      </c>
      <c r="N8" s="775">
        <f t="shared" si="1"/>
        <v>2576719200</v>
      </c>
      <c r="O8" s="788"/>
    </row>
    <row r="9" spans="1:15">
      <c r="A9" s="776">
        <v>1.2</v>
      </c>
      <c r="B9" s="777" t="s">
        <v>249</v>
      </c>
      <c r="C9" s="778">
        <f>+'todruulga-Undsen hurungu'!D4</f>
        <v>21058094156.169998</v>
      </c>
      <c r="D9" s="778">
        <f>+'todruulga-Undsen hurungu'!D5-0-G9</f>
        <v>1247037567.7999997</v>
      </c>
      <c r="E9" s="773"/>
      <c r="F9" s="773"/>
      <c r="G9" s="773">
        <v>1085462576</v>
      </c>
      <c r="H9" s="773"/>
      <c r="I9" s="773"/>
      <c r="J9" s="773"/>
      <c r="K9" s="774"/>
      <c r="L9" s="774"/>
      <c r="M9" s="775">
        <f t="shared" si="0"/>
        <v>2332500143.7999997</v>
      </c>
      <c r="N9" s="775">
        <f>+'todruulga-Undsen hurungu'!D16</f>
        <v>23326648572.339996</v>
      </c>
      <c r="O9" s="788"/>
    </row>
    <row r="10" spans="1:15">
      <c r="A10" s="776" t="s">
        <v>141</v>
      </c>
      <c r="B10" s="779" t="s">
        <v>471</v>
      </c>
      <c r="C10" s="778"/>
      <c r="D10" s="773"/>
      <c r="E10" s="773"/>
      <c r="F10" s="773"/>
      <c r="G10" s="773"/>
      <c r="H10" s="773"/>
      <c r="I10" s="773"/>
      <c r="J10" s="773"/>
      <c r="K10" s="774"/>
      <c r="L10" s="774"/>
      <c r="M10" s="775">
        <f t="shared" si="0"/>
        <v>0</v>
      </c>
      <c r="N10" s="775">
        <f t="shared" si="1"/>
        <v>0</v>
      </c>
      <c r="O10" s="788"/>
    </row>
    <row r="11" spans="1:15">
      <c r="A11" s="776" t="s">
        <v>142</v>
      </c>
      <c r="B11" s="777" t="s">
        <v>472</v>
      </c>
      <c r="C11" s="773"/>
      <c r="D11" s="773"/>
      <c r="E11" s="773"/>
      <c r="F11" s="773"/>
      <c r="G11" s="773"/>
      <c r="H11" s="773"/>
      <c r="I11" s="773"/>
      <c r="J11" s="773"/>
      <c r="K11" s="774"/>
      <c r="L11" s="774"/>
      <c r="M11" s="775">
        <f t="shared" si="0"/>
        <v>0</v>
      </c>
      <c r="N11" s="775">
        <f t="shared" si="1"/>
        <v>0</v>
      </c>
      <c r="O11" s="788"/>
    </row>
    <row r="12" spans="1:15">
      <c r="A12" s="776">
        <v>1.3</v>
      </c>
      <c r="B12" s="779" t="s">
        <v>473</v>
      </c>
      <c r="C12" s="778">
        <f>+'todruulga-Undsen hurungu'!E4</f>
        <v>39997592967.290001</v>
      </c>
      <c r="D12" s="773">
        <f>+'todruulga-Undsen hurungu'!E5-0-G12</f>
        <v>530886377.71000099</v>
      </c>
      <c r="E12" s="773"/>
      <c r="F12" s="773"/>
      <c r="G12" s="773">
        <f>1581572712.1+5928952070.12</f>
        <v>7510524782.2199993</v>
      </c>
      <c r="H12" s="773"/>
      <c r="I12" s="773"/>
      <c r="J12" s="773"/>
      <c r="K12" s="774"/>
      <c r="L12" s="774"/>
      <c r="M12" s="775">
        <f t="shared" si="0"/>
        <v>8041411159.9300003</v>
      </c>
      <c r="N12" s="775">
        <f>+'todruulga-Undsen hurungu'!E16</f>
        <v>47140076284.660004</v>
      </c>
      <c r="O12" s="788"/>
    </row>
    <row r="13" spans="1:15">
      <c r="A13" s="776">
        <v>1.4</v>
      </c>
      <c r="B13" s="777" t="s">
        <v>251</v>
      </c>
      <c r="C13" s="778">
        <f>+'todruulga-Undsen hurungu'!F4</f>
        <v>1559437969.5799999</v>
      </c>
      <c r="D13" s="773">
        <f>+'todruulga-Undsen hurungu'!F5</f>
        <v>400148125.48000002</v>
      </c>
      <c r="E13" s="773"/>
      <c r="F13" s="773"/>
      <c r="G13" s="773"/>
      <c r="H13" s="773"/>
      <c r="I13" s="773"/>
      <c r="J13" s="773"/>
      <c r="K13" s="774"/>
      <c r="L13" s="774"/>
      <c r="M13" s="775">
        <f t="shared" si="0"/>
        <v>400148125.48000002</v>
      </c>
      <c r="N13" s="775">
        <f>+'todruulga-Undsen hurungu'!F16</f>
        <v>1745621141.8399999</v>
      </c>
      <c r="O13" s="788"/>
    </row>
    <row r="14" spans="1:15">
      <c r="A14" s="776">
        <v>1.5</v>
      </c>
      <c r="B14" s="777" t="s">
        <v>252</v>
      </c>
      <c r="C14" s="778">
        <f>+'todruulga-Undsen hurungu'!G4</f>
        <v>2136194507.2999997</v>
      </c>
      <c r="D14" s="773">
        <f>+'todruulga-Undsen hurungu'!G5</f>
        <v>626686723.76999998</v>
      </c>
      <c r="E14" s="773"/>
      <c r="F14" s="773"/>
      <c r="G14" s="773"/>
      <c r="H14" s="773"/>
      <c r="I14" s="773"/>
      <c r="J14" s="773"/>
      <c r="K14" s="774"/>
      <c r="L14" s="774"/>
      <c r="M14" s="775">
        <f t="shared" si="0"/>
        <v>626686723.76999998</v>
      </c>
      <c r="N14" s="775">
        <f>+'todruulga-Undsen hurungu'!G16</f>
        <v>2595034775.1699996</v>
      </c>
      <c r="O14" s="788"/>
    </row>
    <row r="15" spans="1:15">
      <c r="A15" s="776">
        <v>1.6</v>
      </c>
      <c r="B15" s="779" t="s">
        <v>474</v>
      </c>
      <c r="C15" s="778">
        <f>+'todruulga-Undsen hurungu'!H4</f>
        <v>1636887545.72</v>
      </c>
      <c r="D15" s="773">
        <f>+'todruulga-Undsen hurungu'!H5</f>
        <v>290543720.94</v>
      </c>
      <c r="E15" s="773"/>
      <c r="F15" s="773"/>
      <c r="G15" s="773"/>
      <c r="H15" s="773"/>
      <c r="I15" s="773"/>
      <c r="J15" s="773"/>
      <c r="K15" s="774"/>
      <c r="L15" s="774"/>
      <c r="M15" s="775">
        <f t="shared" si="0"/>
        <v>290543720.94</v>
      </c>
      <c r="N15" s="775">
        <f>+'todruulga-Undsen hurungu'!H16</f>
        <v>1885090432.4100001</v>
      </c>
      <c r="O15" s="788"/>
    </row>
    <row r="16" spans="1:15">
      <c r="A16" s="776">
        <v>1.7</v>
      </c>
      <c r="B16" s="777" t="s">
        <v>18</v>
      </c>
      <c r="C16" s="773"/>
      <c r="D16" s="773"/>
      <c r="E16" s="773"/>
      <c r="F16" s="773"/>
      <c r="G16" s="773"/>
      <c r="H16" s="773"/>
      <c r="I16" s="773"/>
      <c r="J16" s="773"/>
      <c r="K16" s="774"/>
      <c r="L16" s="774"/>
      <c r="M16" s="775">
        <f t="shared" si="0"/>
        <v>0</v>
      </c>
      <c r="N16" s="775">
        <f t="shared" si="1"/>
        <v>0</v>
      </c>
      <c r="O16" s="788"/>
    </row>
    <row r="17" spans="1:15">
      <c r="A17" s="776">
        <v>1.8</v>
      </c>
      <c r="B17" s="777" t="s">
        <v>475</v>
      </c>
      <c r="C17" s="778">
        <v>334557566.33999997</v>
      </c>
      <c r="D17" s="773"/>
      <c r="E17" s="773"/>
      <c r="F17" s="773"/>
      <c r="G17" s="773"/>
      <c r="H17" s="773"/>
      <c r="I17" s="773"/>
      <c r="J17" s="773"/>
      <c r="K17" s="774"/>
      <c r="L17" s="774"/>
      <c r="M17" s="775">
        <f t="shared" si="0"/>
        <v>0</v>
      </c>
      <c r="N17" s="775">
        <f t="shared" si="1"/>
        <v>334557566.33999997</v>
      </c>
      <c r="O17" s="788"/>
    </row>
    <row r="18" spans="1:15">
      <c r="A18" s="776">
        <v>1.9</v>
      </c>
      <c r="B18" s="777" t="s">
        <v>476</v>
      </c>
      <c r="C18" s="773"/>
      <c r="D18" s="773"/>
      <c r="E18" s="773"/>
      <c r="F18" s="773"/>
      <c r="G18" s="773"/>
      <c r="H18" s="773"/>
      <c r="I18" s="773"/>
      <c r="J18" s="773"/>
      <c r="K18" s="774"/>
      <c r="L18" s="774"/>
      <c r="M18" s="775">
        <f t="shared" si="0"/>
        <v>0</v>
      </c>
      <c r="N18" s="775">
        <f t="shared" si="1"/>
        <v>0</v>
      </c>
      <c r="O18" s="788"/>
    </row>
    <row r="19" spans="1:15" s="782" customFormat="1">
      <c r="A19" s="771" t="s">
        <v>477</v>
      </c>
      <c r="B19" s="772" t="s">
        <v>478</v>
      </c>
      <c r="C19" s="780">
        <f t="shared" ref="C19:L19" si="2">SUM(C8:C18)</f>
        <v>69299483912.399994</v>
      </c>
      <c r="D19" s="780">
        <f t="shared" si="2"/>
        <v>3095302515.7000008</v>
      </c>
      <c r="E19" s="780">
        <f t="shared" si="2"/>
        <v>0</v>
      </c>
      <c r="F19" s="780">
        <f t="shared" si="2"/>
        <v>0</v>
      </c>
      <c r="G19" s="780">
        <f t="shared" si="2"/>
        <v>8595987358.2199993</v>
      </c>
      <c r="H19" s="780">
        <f t="shared" si="2"/>
        <v>0</v>
      </c>
      <c r="I19" s="780">
        <f t="shared" si="2"/>
        <v>0</v>
      </c>
      <c r="J19" s="780">
        <f t="shared" si="2"/>
        <v>0</v>
      </c>
      <c r="K19" s="780">
        <f t="shared" si="2"/>
        <v>0</v>
      </c>
      <c r="L19" s="780">
        <f t="shared" si="2"/>
        <v>0</v>
      </c>
      <c r="M19" s="781">
        <f t="shared" ref="M19:N19" si="3">SUM(M8:M18)</f>
        <v>11691289873.92</v>
      </c>
      <c r="N19" s="781">
        <f t="shared" si="3"/>
        <v>79603747972.759995</v>
      </c>
      <c r="O19" s="789"/>
    </row>
    <row r="20" spans="1:15">
      <c r="A20" s="771">
        <v>2</v>
      </c>
      <c r="B20" s="772" t="s">
        <v>17</v>
      </c>
      <c r="C20" s="773"/>
      <c r="D20" s="773"/>
      <c r="E20" s="773"/>
      <c r="F20" s="773"/>
      <c r="G20" s="773"/>
      <c r="H20" s="773"/>
      <c r="I20" s="773"/>
      <c r="J20" s="773"/>
      <c r="K20" s="774"/>
      <c r="L20" s="774"/>
      <c r="M20" s="775"/>
      <c r="N20" s="775"/>
      <c r="O20" s="788"/>
    </row>
    <row r="21" spans="1:15">
      <c r="A21" s="776">
        <v>2.1</v>
      </c>
      <c r="B21" s="777" t="s">
        <v>274</v>
      </c>
      <c r="C21" s="773"/>
      <c r="D21" s="773"/>
      <c r="E21" s="773"/>
      <c r="F21" s="773"/>
      <c r="G21" s="773"/>
      <c r="H21" s="773"/>
      <c r="I21" s="773"/>
      <c r="J21" s="773"/>
      <c r="K21" s="774"/>
      <c r="L21" s="774"/>
      <c r="M21" s="775">
        <f t="shared" ref="M21:M30" si="4">SUM(D21:L21)</f>
        <v>0</v>
      </c>
      <c r="N21" s="775">
        <f t="shared" ref="N21:N30" si="5">SUM(C21+M21)</f>
        <v>0</v>
      </c>
      <c r="O21" s="788"/>
    </row>
    <row r="22" spans="1:15">
      <c r="A22" s="776">
        <v>2.2000000000000002</v>
      </c>
      <c r="B22" s="779" t="s">
        <v>479</v>
      </c>
      <c r="C22" s="778">
        <f>+'todruulga-Undsen hurungu'!D43</f>
        <v>115905258.71000001</v>
      </c>
      <c r="D22" s="773">
        <f>+'todruulga-Undsen hurungu'!D44</f>
        <v>38502229.799999997</v>
      </c>
      <c r="E22" s="773"/>
      <c r="F22" s="773"/>
      <c r="G22" s="773"/>
      <c r="H22" s="773"/>
      <c r="I22" s="773"/>
      <c r="J22" s="773"/>
      <c r="K22" s="774"/>
      <c r="L22" s="774"/>
      <c r="M22" s="775">
        <f t="shared" si="4"/>
        <v>38502229.799999997</v>
      </c>
      <c r="N22" s="775">
        <f>+'todruulga-Undsen hurungu'!D53</f>
        <v>154407488.50999999</v>
      </c>
      <c r="O22" s="788"/>
    </row>
    <row r="23" spans="1:15">
      <c r="A23" s="776" t="s">
        <v>480</v>
      </c>
      <c r="B23" s="779" t="s">
        <v>481</v>
      </c>
      <c r="C23" s="773"/>
      <c r="D23" s="773"/>
      <c r="E23" s="773"/>
      <c r="F23" s="773"/>
      <c r="G23" s="773"/>
      <c r="H23" s="773"/>
      <c r="I23" s="773"/>
      <c r="J23" s="773"/>
      <c r="K23" s="774"/>
      <c r="L23" s="774"/>
      <c r="M23" s="775">
        <f t="shared" si="4"/>
        <v>0</v>
      </c>
      <c r="N23" s="775">
        <f t="shared" si="5"/>
        <v>0</v>
      </c>
      <c r="O23" s="788"/>
    </row>
    <row r="24" spans="1:15">
      <c r="A24" s="776" t="s">
        <v>482</v>
      </c>
      <c r="B24" s="777" t="s">
        <v>483</v>
      </c>
      <c r="C24" s="773"/>
      <c r="D24" s="773"/>
      <c r="E24" s="773"/>
      <c r="F24" s="773"/>
      <c r="G24" s="773"/>
      <c r="H24" s="773"/>
      <c r="I24" s="773"/>
      <c r="J24" s="773"/>
      <c r="K24" s="774"/>
      <c r="L24" s="774"/>
      <c r="M24" s="775">
        <f t="shared" si="4"/>
        <v>0</v>
      </c>
      <c r="N24" s="775">
        <f t="shared" si="5"/>
        <v>0</v>
      </c>
      <c r="O24" s="788"/>
    </row>
    <row r="25" spans="1:15">
      <c r="A25" s="776">
        <v>2.2999999999999998</v>
      </c>
      <c r="B25" s="777" t="s">
        <v>276</v>
      </c>
      <c r="C25" s="773"/>
      <c r="D25" s="773"/>
      <c r="E25" s="773"/>
      <c r="F25" s="773"/>
      <c r="G25" s="773"/>
      <c r="H25" s="773"/>
      <c r="I25" s="773"/>
      <c r="J25" s="773"/>
      <c r="K25" s="774"/>
      <c r="L25" s="774"/>
      <c r="M25" s="775">
        <f t="shared" si="4"/>
        <v>0</v>
      </c>
      <c r="N25" s="775">
        <f t="shared" si="5"/>
        <v>0</v>
      </c>
      <c r="O25" s="788"/>
    </row>
    <row r="26" spans="1:15">
      <c r="A26" s="776">
        <v>2.4</v>
      </c>
      <c r="B26" s="777" t="s">
        <v>277</v>
      </c>
      <c r="C26" s="778">
        <f>+'todruulga-Undsen hurungu'!F43</f>
        <v>141869457.94</v>
      </c>
      <c r="D26" s="773"/>
      <c r="E26" s="773"/>
      <c r="F26" s="773"/>
      <c r="G26" s="773"/>
      <c r="H26" s="773"/>
      <c r="I26" s="773"/>
      <c r="J26" s="773"/>
      <c r="K26" s="774"/>
      <c r="L26" s="774"/>
      <c r="M26" s="775">
        <f t="shared" si="4"/>
        <v>0</v>
      </c>
      <c r="N26" s="775">
        <f t="shared" si="5"/>
        <v>141869457.94</v>
      </c>
      <c r="O26" s="788"/>
    </row>
    <row r="27" spans="1:15">
      <c r="A27" s="776">
        <v>2.5</v>
      </c>
      <c r="B27" s="777" t="s">
        <v>278</v>
      </c>
      <c r="C27" s="773"/>
      <c r="D27" s="773"/>
      <c r="E27" s="773"/>
      <c r="F27" s="773"/>
      <c r="G27" s="773"/>
      <c r="H27" s="773"/>
      <c r="I27" s="773"/>
      <c r="J27" s="773"/>
      <c r="K27" s="774"/>
      <c r="L27" s="774"/>
      <c r="M27" s="775">
        <f t="shared" si="4"/>
        <v>0</v>
      </c>
      <c r="N27" s="775">
        <f t="shared" si="5"/>
        <v>0</v>
      </c>
      <c r="O27" s="788"/>
    </row>
    <row r="28" spans="1:15">
      <c r="A28" s="776">
        <v>2.6</v>
      </c>
      <c r="B28" s="777" t="s">
        <v>279</v>
      </c>
      <c r="C28" s="773"/>
      <c r="D28" s="773"/>
      <c r="E28" s="773"/>
      <c r="F28" s="773"/>
      <c r="G28" s="773"/>
      <c r="H28" s="773"/>
      <c r="I28" s="773"/>
      <c r="J28" s="773"/>
      <c r="K28" s="774"/>
      <c r="L28" s="774"/>
      <c r="M28" s="775">
        <f t="shared" si="4"/>
        <v>0</v>
      </c>
      <c r="N28" s="775">
        <f t="shared" si="5"/>
        <v>0</v>
      </c>
      <c r="O28" s="788"/>
    </row>
    <row r="29" spans="1:15">
      <c r="A29" s="776">
        <v>2.7</v>
      </c>
      <c r="B29" s="777" t="s">
        <v>475</v>
      </c>
      <c r="C29" s="773"/>
      <c r="D29" s="773"/>
      <c r="E29" s="773"/>
      <c r="F29" s="773"/>
      <c r="G29" s="773"/>
      <c r="H29" s="773"/>
      <c r="I29" s="773"/>
      <c r="J29" s="773"/>
      <c r="K29" s="774"/>
      <c r="L29" s="774"/>
      <c r="M29" s="775">
        <f t="shared" si="4"/>
        <v>0</v>
      </c>
      <c r="N29" s="775">
        <f t="shared" si="5"/>
        <v>0</v>
      </c>
      <c r="O29" s="788"/>
    </row>
    <row r="30" spans="1:15" ht="21.6">
      <c r="A30" s="776" t="s">
        <v>484</v>
      </c>
      <c r="B30" s="779" t="s">
        <v>485</v>
      </c>
      <c r="C30" s="773"/>
      <c r="D30" s="773"/>
      <c r="E30" s="773"/>
      <c r="F30" s="773"/>
      <c r="G30" s="773"/>
      <c r="H30" s="773"/>
      <c r="I30" s="773"/>
      <c r="J30" s="773"/>
      <c r="K30" s="774"/>
      <c r="L30" s="774"/>
      <c r="M30" s="775">
        <f t="shared" si="4"/>
        <v>0</v>
      </c>
      <c r="N30" s="775">
        <f t="shared" si="5"/>
        <v>0</v>
      </c>
      <c r="O30" s="788"/>
    </row>
    <row r="31" spans="1:15" s="782" customFormat="1">
      <c r="A31" s="771">
        <v>2.8</v>
      </c>
      <c r="B31" s="783" t="s">
        <v>486</v>
      </c>
      <c r="C31" s="780">
        <f>SUM(C21:C30)</f>
        <v>257774716.65000001</v>
      </c>
      <c r="D31" s="780">
        <f t="shared" ref="D31:N31" si="6">SUM(D21:D30)</f>
        <v>38502229.799999997</v>
      </c>
      <c r="E31" s="780">
        <f t="shared" si="6"/>
        <v>0</v>
      </c>
      <c r="F31" s="780">
        <f t="shared" si="6"/>
        <v>0</v>
      </c>
      <c r="G31" s="780">
        <f t="shared" si="6"/>
        <v>0</v>
      </c>
      <c r="H31" s="780">
        <f t="shared" si="6"/>
        <v>0</v>
      </c>
      <c r="I31" s="780">
        <f t="shared" si="6"/>
        <v>0</v>
      </c>
      <c r="J31" s="780">
        <f t="shared" si="6"/>
        <v>0</v>
      </c>
      <c r="K31" s="780">
        <f t="shared" si="6"/>
        <v>0</v>
      </c>
      <c r="L31" s="780">
        <f t="shared" si="6"/>
        <v>0</v>
      </c>
      <c r="M31" s="780">
        <f t="shared" si="6"/>
        <v>38502229.799999997</v>
      </c>
      <c r="N31" s="780">
        <f t="shared" si="6"/>
        <v>296276946.44999999</v>
      </c>
      <c r="O31" s="789"/>
    </row>
    <row r="32" spans="1:15">
      <c r="A32" s="776">
        <v>3</v>
      </c>
      <c r="B32" s="779" t="s">
        <v>487</v>
      </c>
      <c r="C32" s="773"/>
      <c r="D32" s="773"/>
      <c r="E32" s="773"/>
      <c r="F32" s="773"/>
      <c r="G32" s="773"/>
      <c r="H32" s="773"/>
      <c r="I32" s="773"/>
      <c r="J32" s="773"/>
      <c r="K32" s="774"/>
      <c r="L32" s="774"/>
      <c r="M32" s="775">
        <f>SUM(D32:L32)</f>
        <v>0</v>
      </c>
      <c r="N32" s="775">
        <f>SUM(C32+M32)</f>
        <v>0</v>
      </c>
      <c r="O32" s="788"/>
    </row>
    <row r="33" spans="1:15">
      <c r="A33" s="776">
        <v>3.1</v>
      </c>
      <c r="B33" s="777" t="s">
        <v>488</v>
      </c>
      <c r="C33" s="773"/>
      <c r="D33" s="773"/>
      <c r="E33" s="773"/>
      <c r="F33" s="773"/>
      <c r="G33" s="773"/>
      <c r="H33" s="773"/>
      <c r="I33" s="773"/>
      <c r="J33" s="773"/>
      <c r="K33" s="774"/>
      <c r="L33" s="774"/>
      <c r="M33" s="775">
        <f>SUM(D33:L33)</f>
        <v>0</v>
      </c>
      <c r="N33" s="775">
        <f>SUM(C33+M33)</f>
        <v>0</v>
      </c>
      <c r="O33" s="788"/>
    </row>
    <row r="34" spans="1:15">
      <c r="A34" s="776">
        <v>3.2</v>
      </c>
      <c r="B34" s="777" t="s">
        <v>489</v>
      </c>
      <c r="C34" s="773"/>
      <c r="D34" s="773"/>
      <c r="E34" s="773"/>
      <c r="F34" s="773"/>
      <c r="G34" s="773"/>
      <c r="H34" s="773"/>
      <c r="I34" s="773"/>
      <c r="J34" s="773"/>
      <c r="K34" s="774"/>
      <c r="L34" s="774"/>
      <c r="M34" s="775">
        <f>SUM(D34:L34)</f>
        <v>0</v>
      </c>
      <c r="N34" s="775">
        <f>SUM(C34+M34)</f>
        <v>0</v>
      </c>
      <c r="O34" s="788"/>
    </row>
    <row r="35" spans="1:15" ht="11.4" thickBot="1">
      <c r="A35" s="784">
        <v>4</v>
      </c>
      <c r="B35" s="772" t="s">
        <v>490</v>
      </c>
      <c r="C35" s="780">
        <f>+C31+C19</f>
        <v>69557258629.049988</v>
      </c>
      <c r="D35" s="780">
        <f t="shared" ref="D35:N35" si="7">+D31+D19</f>
        <v>3133804745.500001</v>
      </c>
      <c r="E35" s="780">
        <f t="shared" si="7"/>
        <v>0</v>
      </c>
      <c r="F35" s="780">
        <f t="shared" si="7"/>
        <v>0</v>
      </c>
      <c r="G35" s="780">
        <f t="shared" si="7"/>
        <v>8595987358.2199993</v>
      </c>
      <c r="H35" s="780">
        <f t="shared" si="7"/>
        <v>0</v>
      </c>
      <c r="I35" s="780">
        <f t="shared" si="7"/>
        <v>0</v>
      </c>
      <c r="J35" s="780">
        <f t="shared" si="7"/>
        <v>0</v>
      </c>
      <c r="K35" s="780">
        <f t="shared" si="7"/>
        <v>0</v>
      </c>
      <c r="L35" s="780">
        <f t="shared" si="7"/>
        <v>0</v>
      </c>
      <c r="M35" s="780">
        <f t="shared" si="7"/>
        <v>11729792103.719999</v>
      </c>
      <c r="N35" s="780">
        <f t="shared" si="7"/>
        <v>79900024919.209991</v>
      </c>
      <c r="O35" s="788"/>
    </row>
    <row r="36" spans="1:15">
      <c r="A36" s="785"/>
      <c r="B36" s="785"/>
      <c r="C36" s="790">
        <f>+'todruulga-Undsen hurungu'!K4+'todruulga-Undsen hurungu'!K43</f>
        <v>69557258629.049988</v>
      </c>
      <c r="D36" s="790"/>
      <c r="E36" s="790"/>
      <c r="F36" s="790"/>
      <c r="G36" s="790"/>
      <c r="H36" s="790"/>
      <c r="I36" s="790"/>
      <c r="J36" s="790"/>
      <c r="K36" s="790"/>
      <c r="L36" s="790"/>
      <c r="M36" s="790">
        <f>+'todruulga-Undsen hurungu'!K5+'todruulga-Undsen hurungu'!K44</f>
        <v>11729792103.719999</v>
      </c>
      <c r="N36" s="790">
        <f>+'todruulga-Undsen hurungu'!K16+'todruulga-Undsen hurungu'!K53</f>
        <v>79900024919.209991</v>
      </c>
      <c r="O36" s="788"/>
    </row>
    <row r="37" spans="1:15" ht="11.4">
      <c r="A37" s="786" t="s">
        <v>491</v>
      </c>
      <c r="B37" s="787"/>
      <c r="C37" s="791">
        <f>+C36-C35</f>
        <v>0</v>
      </c>
      <c r="D37" s="790"/>
      <c r="E37" s="790"/>
      <c r="F37" s="790"/>
      <c r="G37" s="790"/>
      <c r="H37" s="790"/>
      <c r="I37" s="790"/>
      <c r="J37" s="790"/>
      <c r="K37" s="791"/>
      <c r="L37" s="791"/>
      <c r="M37" s="791">
        <f>+M36-M35</f>
        <v>0</v>
      </c>
      <c r="N37" s="791">
        <f>+N36-N35</f>
        <v>0</v>
      </c>
      <c r="O37" s="788"/>
    </row>
    <row r="38" spans="1:15">
      <c r="C38" s="788"/>
      <c r="D38" s="788"/>
      <c r="E38" s="788"/>
      <c r="F38" s="788"/>
      <c r="G38" s="788"/>
      <c r="H38" s="788"/>
      <c r="I38" s="788"/>
      <c r="J38" s="788"/>
      <c r="K38" s="788"/>
      <c r="L38" s="788"/>
      <c r="M38" s="788"/>
      <c r="N38" s="788"/>
      <c r="O38" s="788"/>
    </row>
    <row r="39" spans="1:15">
      <c r="C39" s="788"/>
      <c r="D39" s="788"/>
      <c r="E39" s="788"/>
      <c r="F39" s="788"/>
      <c r="G39" s="788"/>
      <c r="H39" s="788"/>
      <c r="I39" s="788"/>
      <c r="J39" s="788"/>
      <c r="K39" s="788"/>
      <c r="L39" s="788"/>
      <c r="M39" s="788"/>
      <c r="N39" s="788"/>
      <c r="O39" s="788"/>
    </row>
    <row r="40" spans="1:15">
      <c r="C40" s="788"/>
      <c r="D40" s="788"/>
      <c r="E40" s="788"/>
      <c r="F40" s="788"/>
      <c r="G40" s="788"/>
      <c r="H40" s="788"/>
      <c r="I40" s="788"/>
      <c r="J40" s="788"/>
      <c r="K40" s="788"/>
      <c r="L40" s="788"/>
      <c r="M40" s="788"/>
      <c r="N40" s="788"/>
      <c r="O40" s="788"/>
    </row>
    <row r="41" spans="1:15">
      <c r="C41" s="788"/>
      <c r="D41" s="788"/>
      <c r="E41" s="788"/>
      <c r="F41" s="788"/>
      <c r="G41" s="788"/>
      <c r="H41" s="788"/>
      <c r="I41" s="788"/>
      <c r="J41" s="788"/>
      <c r="K41" s="788"/>
      <c r="L41" s="788"/>
      <c r="M41" s="788"/>
      <c r="N41" s="788"/>
      <c r="O41" s="788"/>
    </row>
    <row r="42" spans="1:15">
      <c r="C42" s="788"/>
      <c r="D42" s="788"/>
      <c r="E42" s="788"/>
      <c r="F42" s="788"/>
      <c r="G42" s="788"/>
      <c r="H42" s="788"/>
      <c r="I42" s="788"/>
      <c r="J42" s="788"/>
      <c r="K42" s="788"/>
      <c r="L42" s="788"/>
      <c r="M42" s="788"/>
      <c r="N42" s="788"/>
      <c r="O42" s="788"/>
    </row>
  </sheetData>
  <mergeCells count="6">
    <mergeCell ref="N5:N6"/>
    <mergeCell ref="A2:J2"/>
    <mergeCell ref="A5:A6"/>
    <mergeCell ref="B5:B6"/>
    <mergeCell ref="C5:C6"/>
    <mergeCell ref="D5:M5"/>
  </mergeCells>
  <phoneticPr fontId="9" type="noConversion"/>
  <pageMargins left="0.23622047244094491" right="0.23622047244094491" top="0.27559055118110237" bottom="0.27559055118110237" header="0.23622047244094491" footer="0.19685039370078741"/>
  <pageSetup paperSize="9" scale="90" orientation="landscape"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pageSetUpPr fitToPage="1"/>
  </sheetPr>
  <dimension ref="A2:Q40"/>
  <sheetViews>
    <sheetView workbookViewId="0">
      <pane xSplit="3" ySplit="6" topLeftCell="N7" activePane="bottomRight" state="frozen"/>
      <selection activeCell="G43" activeCellId="1" sqref="B5:C5 G43"/>
      <selection pane="topRight" activeCell="G43" activeCellId="1" sqref="B5:C5 G43"/>
      <selection pane="bottomLeft" activeCell="G43" activeCellId="1" sqref="B5:C5 G43"/>
      <selection pane="bottomRight" activeCell="G43" activeCellId="1" sqref="B5:C5 G43"/>
    </sheetView>
  </sheetViews>
  <sheetFormatPr defaultColWidth="9.109375" defaultRowHeight="13.2"/>
  <cols>
    <col min="1" max="1" width="6.5546875" style="247" customWidth="1"/>
    <col min="2" max="2" width="43.33203125" style="247" customWidth="1"/>
    <col min="3" max="3" width="15.109375" style="247" bestFit="1" customWidth="1"/>
    <col min="4" max="4" width="14.33203125" style="247" bestFit="1" customWidth="1"/>
    <col min="5" max="6" width="8.88671875" style="247" bestFit="1" customWidth="1"/>
    <col min="7" max="7" width="12.44140625" style="247" bestFit="1" customWidth="1"/>
    <col min="8" max="10" width="9.109375" style="247"/>
    <col min="11" max="12" width="8" style="247" bestFit="1" customWidth="1"/>
    <col min="13" max="13" width="14.33203125" style="247" bestFit="1" customWidth="1"/>
    <col min="14" max="14" width="15" style="247" bestFit="1" customWidth="1"/>
    <col min="15" max="15" width="20.5546875" style="326" customWidth="1"/>
    <col min="16" max="16" width="10.88671875" style="326" bestFit="1" customWidth="1"/>
    <col min="17" max="17" width="14" style="247" bestFit="1" customWidth="1"/>
    <col min="18" max="16384" width="9.109375" style="247"/>
  </cols>
  <sheetData>
    <row r="2" spans="1:17">
      <c r="A2" s="1189" t="s">
        <v>459</v>
      </c>
      <c r="B2" s="1189"/>
      <c r="C2" s="1189"/>
      <c r="D2" s="1189"/>
      <c r="E2" s="1189"/>
      <c r="F2" s="1189"/>
      <c r="G2" s="1189"/>
      <c r="H2" s="1189"/>
      <c r="I2" s="1189"/>
      <c r="J2" s="1189"/>
      <c r="K2" s="262"/>
      <c r="L2" s="262"/>
      <c r="M2" s="262"/>
      <c r="N2" s="262"/>
    </row>
    <row r="3" spans="1:17">
      <c r="A3" s="263"/>
      <c r="B3" s="263"/>
      <c r="C3" s="263"/>
      <c r="D3" s="263"/>
      <c r="E3" s="263"/>
      <c r="F3" s="263"/>
      <c r="G3" s="263"/>
      <c r="H3" s="263"/>
      <c r="I3" s="263"/>
      <c r="J3" s="263"/>
      <c r="K3" s="213"/>
      <c r="L3" s="213"/>
      <c r="M3" s="213"/>
      <c r="N3" s="213"/>
    </row>
    <row r="4" spans="1:17">
      <c r="A4" s="226"/>
      <c r="B4" s="226"/>
      <c r="C4" s="226"/>
      <c r="D4" s="226"/>
      <c r="E4" s="226"/>
      <c r="F4" s="226"/>
      <c r="G4" s="226"/>
      <c r="H4" s="226"/>
      <c r="I4" s="226"/>
      <c r="J4" s="226"/>
      <c r="K4" s="213"/>
      <c r="L4" s="213"/>
      <c r="M4" s="213"/>
      <c r="N4" s="213"/>
    </row>
    <row r="5" spans="1:17">
      <c r="A5" s="1190" t="s">
        <v>79</v>
      </c>
      <c r="B5" s="1187" t="s">
        <v>5</v>
      </c>
      <c r="C5" s="1187" t="s">
        <v>194</v>
      </c>
      <c r="D5" s="1002" t="s">
        <v>460</v>
      </c>
      <c r="E5" s="1003"/>
      <c r="F5" s="1003"/>
      <c r="G5" s="1003"/>
      <c r="H5" s="1003"/>
      <c r="I5" s="1003"/>
      <c r="J5" s="1003"/>
      <c r="K5" s="1003"/>
      <c r="L5" s="1003"/>
      <c r="M5" s="1003"/>
      <c r="N5" s="1187" t="s">
        <v>195</v>
      </c>
    </row>
    <row r="6" spans="1:17" ht="66">
      <c r="A6" s="1191"/>
      <c r="B6" s="1188"/>
      <c r="C6" s="1188"/>
      <c r="D6" s="65" t="s">
        <v>461</v>
      </c>
      <c r="E6" s="65" t="s">
        <v>462</v>
      </c>
      <c r="F6" s="65" t="s">
        <v>463</v>
      </c>
      <c r="G6" s="65" t="s">
        <v>464</v>
      </c>
      <c r="H6" s="65" t="s">
        <v>465</v>
      </c>
      <c r="I6" s="65" t="s">
        <v>466</v>
      </c>
      <c r="J6" s="65" t="s">
        <v>467</v>
      </c>
      <c r="K6" s="65" t="s">
        <v>468</v>
      </c>
      <c r="L6" s="65" t="s">
        <v>469</v>
      </c>
      <c r="M6" s="66" t="s">
        <v>199</v>
      </c>
      <c r="N6" s="1188"/>
    </row>
    <row r="7" spans="1:17">
      <c r="A7" s="264">
        <v>1</v>
      </c>
      <c r="B7" s="265" t="s">
        <v>470</v>
      </c>
      <c r="C7" s="432">
        <f>+'todruulga-busad'!C7/1000</f>
        <v>0</v>
      </c>
      <c r="D7" s="432">
        <f>+'todruulga-busad'!D7/1000</f>
        <v>0</v>
      </c>
      <c r="E7" s="432">
        <f>+'todruulga-busad'!E7/1000</f>
        <v>0</v>
      </c>
      <c r="F7" s="432">
        <f>+'todruulga-busad'!F7/1000</f>
        <v>0</v>
      </c>
      <c r="G7" s="432">
        <f>+'todruulga-busad'!G7/1000</f>
        <v>0</v>
      </c>
      <c r="H7" s="432">
        <f>+'todruulga-busad'!H7/1000</f>
        <v>0</v>
      </c>
      <c r="I7" s="432">
        <f>+'todruulga-busad'!I7/1000</f>
        <v>0</v>
      </c>
      <c r="J7" s="432">
        <f>+'todruulga-busad'!J7/1000</f>
        <v>0</v>
      </c>
      <c r="K7" s="432">
        <f>+'todruulga-busad'!K7/1000</f>
        <v>0</v>
      </c>
      <c r="L7" s="432">
        <f>+'todruulga-busad'!L7/1000</f>
        <v>0</v>
      </c>
      <c r="M7" s="432">
        <f>+'todruulga-busad'!M7/1000</f>
        <v>0</v>
      </c>
      <c r="N7" s="432">
        <f>+'todruulga-busad'!N7/1000</f>
        <v>0</v>
      </c>
    </row>
    <row r="8" spans="1:17">
      <c r="A8" s="266">
        <v>1.1000000000000001</v>
      </c>
      <c r="B8" s="267" t="s">
        <v>248</v>
      </c>
      <c r="C8" s="432">
        <f>+'todruulga-busad'!C8/1000</f>
        <v>2576719.2000000002</v>
      </c>
      <c r="D8" s="432">
        <f>+'todruulga-busad'!D8/1000</f>
        <v>0</v>
      </c>
      <c r="E8" s="432">
        <f>+'todruulga-busad'!E8/1000</f>
        <v>0</v>
      </c>
      <c r="F8" s="432">
        <f>+'todruulga-busad'!F8/1000</f>
        <v>0</v>
      </c>
      <c r="G8" s="432">
        <f>+'todruulga-busad'!G8/1000</f>
        <v>0</v>
      </c>
      <c r="H8" s="432">
        <f>+'todruulga-busad'!H8/1000</f>
        <v>0</v>
      </c>
      <c r="I8" s="432">
        <f>+'todruulga-busad'!I8/1000</f>
        <v>0</v>
      </c>
      <c r="J8" s="432">
        <f>+'todruulga-busad'!J8/1000</f>
        <v>0</v>
      </c>
      <c r="K8" s="432">
        <f>+'todruulga-busad'!K8/1000</f>
        <v>0</v>
      </c>
      <c r="L8" s="432">
        <f>+'todruulga-busad'!L8/1000</f>
        <v>0</v>
      </c>
      <c r="M8" s="432">
        <f>+'todruulga-busad'!M8/1000</f>
        <v>0</v>
      </c>
      <c r="N8" s="432">
        <f>+'todruulga-busad'!N8/1000</f>
        <v>2576719.2000000002</v>
      </c>
      <c r="O8" s="327">
        <f>+C8+M8</f>
        <v>2576719.2000000002</v>
      </c>
      <c r="P8" s="327"/>
    </row>
    <row r="9" spans="1:17">
      <c r="A9" s="266">
        <v>1.2</v>
      </c>
      <c r="B9" s="267" t="s">
        <v>249</v>
      </c>
      <c r="C9" s="432">
        <f>+'todruulga-busad'!C9/1000</f>
        <v>21058094.156169999</v>
      </c>
      <c r="D9" s="432">
        <f>+'todruulga-busad'!D9/1000</f>
        <v>1247037.5677999996</v>
      </c>
      <c r="E9" s="432">
        <f>+'todruulga-busad'!E9/1000</f>
        <v>0</v>
      </c>
      <c r="F9" s="432">
        <f>+'todruulga-busad'!F9/1000</f>
        <v>0</v>
      </c>
      <c r="G9" s="432">
        <f>+'todruulga-busad'!G9/1000</f>
        <v>1085462.5759999999</v>
      </c>
      <c r="H9" s="432">
        <f>+'todruulga-busad'!H9/1000</f>
        <v>0</v>
      </c>
      <c r="I9" s="432">
        <f>+'todruulga-busad'!I9/1000</f>
        <v>0</v>
      </c>
      <c r="J9" s="432">
        <f>+'todruulga-busad'!J9/1000</f>
        <v>0</v>
      </c>
      <c r="K9" s="432">
        <f>+'todruulga-busad'!K9/1000</f>
        <v>0</v>
      </c>
      <c r="L9" s="432">
        <f>+'todruulga-busad'!L9/1000</f>
        <v>0</v>
      </c>
      <c r="M9" s="432">
        <f>+'todruulga-busad'!M9/1000</f>
        <v>2332500.1437999997</v>
      </c>
      <c r="N9" s="432">
        <f>+'todruulga-busad'!N9/1000</f>
        <v>23326648.572339997</v>
      </c>
      <c r="O9" s="327">
        <f t="shared" ref="O9:O35" si="0">+C9+M9</f>
        <v>23390594.299970001</v>
      </c>
      <c r="P9" s="327"/>
      <c r="Q9" s="246"/>
    </row>
    <row r="10" spans="1:17">
      <c r="A10" s="266" t="s">
        <v>141</v>
      </c>
      <c r="B10" s="268" t="s">
        <v>471</v>
      </c>
      <c r="C10" s="432">
        <f>+'todruulga-busad'!C10/1000</f>
        <v>0</v>
      </c>
      <c r="D10" s="432">
        <f>+'todruulga-busad'!D10/1000</f>
        <v>0</v>
      </c>
      <c r="E10" s="432">
        <f>+'todruulga-busad'!E10/1000</f>
        <v>0</v>
      </c>
      <c r="F10" s="432">
        <f>+'todruulga-busad'!F10/1000</f>
        <v>0</v>
      </c>
      <c r="G10" s="432">
        <f>+'todruulga-busad'!G10/1000</f>
        <v>0</v>
      </c>
      <c r="H10" s="432">
        <f>+'todruulga-busad'!H10/1000</f>
        <v>0</v>
      </c>
      <c r="I10" s="432">
        <f>+'todruulga-busad'!I10/1000</f>
        <v>0</v>
      </c>
      <c r="J10" s="432">
        <f>+'todruulga-busad'!J10/1000</f>
        <v>0</v>
      </c>
      <c r="K10" s="432">
        <f>+'todruulga-busad'!K10/1000</f>
        <v>0</v>
      </c>
      <c r="L10" s="432">
        <f>+'todruulga-busad'!L10/1000</f>
        <v>0</v>
      </c>
      <c r="M10" s="432">
        <f>+'todruulga-busad'!M10/1000</f>
        <v>0</v>
      </c>
      <c r="N10" s="432">
        <f>+'todruulga-busad'!N10/1000</f>
        <v>0</v>
      </c>
      <c r="O10" s="327">
        <f t="shared" si="0"/>
        <v>0</v>
      </c>
      <c r="P10" s="327"/>
    </row>
    <row r="11" spans="1:17">
      <c r="A11" s="266" t="s">
        <v>142</v>
      </c>
      <c r="B11" s="267" t="s">
        <v>472</v>
      </c>
      <c r="C11" s="432">
        <f>+'todruulga-busad'!C11/1000</f>
        <v>0</v>
      </c>
      <c r="D11" s="432">
        <f>+'todruulga-busad'!D11/1000</f>
        <v>0</v>
      </c>
      <c r="E11" s="432">
        <f>+'todruulga-busad'!E11/1000</f>
        <v>0</v>
      </c>
      <c r="F11" s="432">
        <f>+'todruulga-busad'!F11/1000</f>
        <v>0</v>
      </c>
      <c r="G11" s="432">
        <f>+'todruulga-busad'!G11/1000</f>
        <v>0</v>
      </c>
      <c r="H11" s="432">
        <f>+'todruulga-busad'!H11/1000</f>
        <v>0</v>
      </c>
      <c r="I11" s="432">
        <f>+'todruulga-busad'!I11/1000</f>
        <v>0</v>
      </c>
      <c r="J11" s="432">
        <f>+'todruulga-busad'!J11/1000</f>
        <v>0</v>
      </c>
      <c r="K11" s="432">
        <f>+'todruulga-busad'!K11/1000</f>
        <v>0</v>
      </c>
      <c r="L11" s="432">
        <f>+'todruulga-busad'!L11/1000</f>
        <v>0</v>
      </c>
      <c r="M11" s="432">
        <f>+'todruulga-busad'!M11/1000</f>
        <v>0</v>
      </c>
      <c r="N11" s="432">
        <f>+'todruulga-busad'!N11/1000</f>
        <v>0</v>
      </c>
      <c r="O11" s="327">
        <f t="shared" si="0"/>
        <v>0</v>
      </c>
      <c r="P11" s="327"/>
    </row>
    <row r="12" spans="1:17">
      <c r="A12" s="266">
        <v>1.3</v>
      </c>
      <c r="B12" s="268" t="s">
        <v>473</v>
      </c>
      <c r="C12" s="432">
        <f>+'todruulga-busad'!C12/1000</f>
        <v>39997592.967289999</v>
      </c>
      <c r="D12" s="432">
        <f>+'todruulga-busad'!D12/1000</f>
        <v>530886.37771000096</v>
      </c>
      <c r="E12" s="432">
        <f>+'todruulga-busad'!E12/1000</f>
        <v>0</v>
      </c>
      <c r="F12" s="432">
        <f>+'todruulga-busad'!F12/1000</f>
        <v>0</v>
      </c>
      <c r="G12" s="432">
        <f>+'todruulga-busad'!G12/1000</f>
        <v>7510524.7822199995</v>
      </c>
      <c r="H12" s="432">
        <f>+'todruulga-busad'!H12/1000</f>
        <v>0</v>
      </c>
      <c r="I12" s="432">
        <f>+'todruulga-busad'!I12/1000</f>
        <v>0</v>
      </c>
      <c r="J12" s="432">
        <f>+'todruulga-busad'!J12/1000</f>
        <v>0</v>
      </c>
      <c r="K12" s="432">
        <f>+'todruulga-busad'!K12/1000</f>
        <v>0</v>
      </c>
      <c r="L12" s="432">
        <f>+'todruulga-busad'!L12/1000</f>
        <v>0</v>
      </c>
      <c r="M12" s="432">
        <f>+'todruulga-busad'!M12/1000</f>
        <v>8041411.1599300001</v>
      </c>
      <c r="N12" s="432">
        <f>+'todruulga-busad'!N12/1000</f>
        <v>47140076.284660004</v>
      </c>
      <c r="O12" s="327">
        <f t="shared" si="0"/>
        <v>48039004.127219997</v>
      </c>
      <c r="P12" s="327"/>
    </row>
    <row r="13" spans="1:17">
      <c r="A13" s="266">
        <v>1.4</v>
      </c>
      <c r="B13" s="267" t="s">
        <v>251</v>
      </c>
      <c r="C13" s="432">
        <f>+'todruulga-busad'!C13/1000</f>
        <v>1559437.96958</v>
      </c>
      <c r="D13" s="432">
        <f>+'todruulga-busad'!D13/1000</f>
        <v>400148.12548000005</v>
      </c>
      <c r="E13" s="432">
        <f>+'todruulga-busad'!E13/1000</f>
        <v>0</v>
      </c>
      <c r="F13" s="432">
        <f>+'todruulga-busad'!F13/1000</f>
        <v>0</v>
      </c>
      <c r="G13" s="432">
        <f>+'todruulga-busad'!G13/1000</f>
        <v>0</v>
      </c>
      <c r="H13" s="432">
        <f>+'todruulga-busad'!H13/1000</f>
        <v>0</v>
      </c>
      <c r="I13" s="432">
        <f>+'todruulga-busad'!I13/1000</f>
        <v>0</v>
      </c>
      <c r="J13" s="432">
        <f>+'todruulga-busad'!J13/1000</f>
        <v>0</v>
      </c>
      <c r="K13" s="432">
        <f>+'todruulga-busad'!K13/1000</f>
        <v>0</v>
      </c>
      <c r="L13" s="432">
        <f>+'todruulga-busad'!L13/1000</f>
        <v>0</v>
      </c>
      <c r="M13" s="432">
        <f>+'todruulga-busad'!M13/1000</f>
        <v>400148.12548000005</v>
      </c>
      <c r="N13" s="432">
        <f>+'todruulga-busad'!N13/1000</f>
        <v>1745621.1418399999</v>
      </c>
      <c r="O13" s="327">
        <f t="shared" si="0"/>
        <v>1959586.0950600002</v>
      </c>
      <c r="P13" s="327"/>
    </row>
    <row r="14" spans="1:17">
      <c r="A14" s="266">
        <v>1.5</v>
      </c>
      <c r="B14" s="267" t="s">
        <v>252</v>
      </c>
      <c r="C14" s="432">
        <f>+'todruulga-busad'!C14/1000</f>
        <v>2136194.5072999997</v>
      </c>
      <c r="D14" s="432">
        <f>+'todruulga-busad'!D14/1000</f>
        <v>626686.72376999992</v>
      </c>
      <c r="E14" s="432">
        <f>+'todruulga-busad'!E14/1000</f>
        <v>0</v>
      </c>
      <c r="F14" s="432">
        <f>+'todruulga-busad'!F14/1000</f>
        <v>0</v>
      </c>
      <c r="G14" s="432">
        <f>+'todruulga-busad'!G14/1000</f>
        <v>0</v>
      </c>
      <c r="H14" s="432">
        <f>+'todruulga-busad'!H14/1000</f>
        <v>0</v>
      </c>
      <c r="I14" s="432">
        <f>+'todruulga-busad'!I14/1000</f>
        <v>0</v>
      </c>
      <c r="J14" s="432">
        <f>+'todruulga-busad'!J14/1000</f>
        <v>0</v>
      </c>
      <c r="K14" s="432">
        <f>+'todruulga-busad'!K14/1000</f>
        <v>0</v>
      </c>
      <c r="L14" s="432">
        <f>+'todruulga-busad'!L14/1000</f>
        <v>0</v>
      </c>
      <c r="M14" s="432">
        <f>+'todruulga-busad'!M14/1000</f>
        <v>626686.72376999992</v>
      </c>
      <c r="N14" s="432">
        <f>+'todruulga-busad'!N14/1000</f>
        <v>2595034.7751699998</v>
      </c>
      <c r="O14" s="327">
        <f t="shared" si="0"/>
        <v>2762881.2310699997</v>
      </c>
      <c r="P14" s="327"/>
    </row>
    <row r="15" spans="1:17">
      <c r="A15" s="266">
        <v>1.6</v>
      </c>
      <c r="B15" s="268" t="s">
        <v>474</v>
      </c>
      <c r="C15" s="432">
        <f>+'todruulga-busad'!C15/1000</f>
        <v>1636887.5457200001</v>
      </c>
      <c r="D15" s="432">
        <f>+'todruulga-busad'!D15/1000</f>
        <v>290543.72093999997</v>
      </c>
      <c r="E15" s="432">
        <f>+'todruulga-busad'!E15/1000</f>
        <v>0</v>
      </c>
      <c r="F15" s="432">
        <f>+'todruulga-busad'!F15/1000</f>
        <v>0</v>
      </c>
      <c r="G15" s="432">
        <f>+'todruulga-busad'!G15/1000</f>
        <v>0</v>
      </c>
      <c r="H15" s="432">
        <f>+'todruulga-busad'!H15/1000</f>
        <v>0</v>
      </c>
      <c r="I15" s="432">
        <f>+'todruulga-busad'!I15/1000</f>
        <v>0</v>
      </c>
      <c r="J15" s="432">
        <f>+'todruulga-busad'!J15/1000</f>
        <v>0</v>
      </c>
      <c r="K15" s="432">
        <f>+'todruulga-busad'!K15/1000</f>
        <v>0</v>
      </c>
      <c r="L15" s="432">
        <f>+'todruulga-busad'!L15/1000</f>
        <v>0</v>
      </c>
      <c r="M15" s="432">
        <f>+'todruulga-busad'!M15/1000</f>
        <v>290543.72093999997</v>
      </c>
      <c r="N15" s="432">
        <f>+'todruulga-busad'!N15/1000</f>
        <v>1885090.4324100001</v>
      </c>
      <c r="O15" s="327">
        <f t="shared" si="0"/>
        <v>1927431.26666</v>
      </c>
      <c r="P15" s="327"/>
    </row>
    <row r="16" spans="1:17">
      <c r="A16" s="266">
        <v>1.7</v>
      </c>
      <c r="B16" s="267" t="s">
        <v>18</v>
      </c>
      <c r="C16" s="432">
        <f>+'todruulga-busad'!C16/1000</f>
        <v>0</v>
      </c>
      <c r="D16" s="432">
        <f>+'todruulga-busad'!D16/1000</f>
        <v>0</v>
      </c>
      <c r="E16" s="432">
        <f>+'todruulga-busad'!E16/1000</f>
        <v>0</v>
      </c>
      <c r="F16" s="432">
        <f>+'todruulga-busad'!F16/1000</f>
        <v>0</v>
      </c>
      <c r="G16" s="432">
        <f>+'todruulga-busad'!G16/1000</f>
        <v>0</v>
      </c>
      <c r="H16" s="432">
        <f>+'todruulga-busad'!H16/1000</f>
        <v>0</v>
      </c>
      <c r="I16" s="432">
        <f>+'todruulga-busad'!I16/1000</f>
        <v>0</v>
      </c>
      <c r="J16" s="432">
        <f>+'todruulga-busad'!J16/1000</f>
        <v>0</v>
      </c>
      <c r="K16" s="432">
        <f>+'todruulga-busad'!K16/1000</f>
        <v>0</v>
      </c>
      <c r="L16" s="432">
        <f>+'todruulga-busad'!L16/1000</f>
        <v>0</v>
      </c>
      <c r="M16" s="432">
        <f>+'todruulga-busad'!M16/1000</f>
        <v>0</v>
      </c>
      <c r="N16" s="432">
        <f>+'todruulga-busad'!N16/1000</f>
        <v>0</v>
      </c>
      <c r="O16" s="327">
        <f t="shared" si="0"/>
        <v>0</v>
      </c>
      <c r="P16" s="327"/>
    </row>
    <row r="17" spans="1:16">
      <c r="A17" s="266">
        <v>1.8</v>
      </c>
      <c r="B17" s="267" t="s">
        <v>475</v>
      </c>
      <c r="C17" s="432">
        <f>+'todruulga-busad'!C17/1000</f>
        <v>334557.56633999996</v>
      </c>
      <c r="D17" s="432">
        <f>+'todruulga-busad'!D17/1000</f>
        <v>0</v>
      </c>
      <c r="E17" s="432">
        <f>+'todruulga-busad'!E17/1000</f>
        <v>0</v>
      </c>
      <c r="F17" s="432">
        <f>+'todruulga-busad'!F17/1000</f>
        <v>0</v>
      </c>
      <c r="G17" s="432">
        <f>+'todruulga-busad'!G17/1000</f>
        <v>0</v>
      </c>
      <c r="H17" s="432">
        <f>+'todruulga-busad'!H17/1000</f>
        <v>0</v>
      </c>
      <c r="I17" s="432">
        <f>+'todruulga-busad'!I17/1000</f>
        <v>0</v>
      </c>
      <c r="J17" s="432">
        <f>+'todruulga-busad'!J17/1000</f>
        <v>0</v>
      </c>
      <c r="K17" s="432">
        <f>+'todruulga-busad'!K17/1000</f>
        <v>0</v>
      </c>
      <c r="L17" s="432">
        <f>+'todruulga-busad'!L17/1000</f>
        <v>0</v>
      </c>
      <c r="M17" s="432">
        <f>+'todruulga-busad'!M17/1000</f>
        <v>0</v>
      </c>
      <c r="N17" s="432">
        <f>+'todruulga-busad'!N17/1000</f>
        <v>334557.56633999996</v>
      </c>
      <c r="O17" s="327">
        <f t="shared" si="0"/>
        <v>334557.56633999996</v>
      </c>
      <c r="P17" s="327"/>
    </row>
    <row r="18" spans="1:16">
      <c r="A18" s="266">
        <v>1.9</v>
      </c>
      <c r="B18" s="267" t="s">
        <v>476</v>
      </c>
      <c r="C18" s="432">
        <f>+'todruulga-busad'!C18/1000</f>
        <v>0</v>
      </c>
      <c r="D18" s="432">
        <f>+'todruulga-busad'!D18/1000</f>
        <v>0</v>
      </c>
      <c r="E18" s="432">
        <f>+'todruulga-busad'!E18/1000</f>
        <v>0</v>
      </c>
      <c r="F18" s="432">
        <f>+'todruulga-busad'!F18/1000</f>
        <v>0</v>
      </c>
      <c r="G18" s="432">
        <f>+'todruulga-busad'!G18/1000</f>
        <v>0</v>
      </c>
      <c r="H18" s="432">
        <f>+'todruulga-busad'!H18/1000</f>
        <v>0</v>
      </c>
      <c r="I18" s="432">
        <f>+'todruulga-busad'!I18/1000</f>
        <v>0</v>
      </c>
      <c r="J18" s="432">
        <f>+'todruulga-busad'!J18/1000</f>
        <v>0</v>
      </c>
      <c r="K18" s="432">
        <f>+'todruulga-busad'!K18/1000</f>
        <v>0</v>
      </c>
      <c r="L18" s="432">
        <f>+'todruulga-busad'!L18/1000</f>
        <v>0</v>
      </c>
      <c r="M18" s="432">
        <f>+'todruulga-busad'!M18/1000</f>
        <v>0</v>
      </c>
      <c r="N18" s="432">
        <f>+'todruulga-busad'!N18/1000</f>
        <v>0</v>
      </c>
      <c r="O18" s="327">
        <f t="shared" si="0"/>
        <v>0</v>
      </c>
    </row>
    <row r="19" spans="1:16">
      <c r="A19" s="266" t="s">
        <v>477</v>
      </c>
      <c r="B19" s="265" t="s">
        <v>478</v>
      </c>
      <c r="C19" s="432">
        <f>+'todruulga-busad'!C19/1000</f>
        <v>69299483.912399992</v>
      </c>
      <c r="D19" s="432">
        <f>+'todruulga-busad'!D19/1000</f>
        <v>3095302.5157000008</v>
      </c>
      <c r="E19" s="432">
        <f>+'todruulga-busad'!E19/1000</f>
        <v>0</v>
      </c>
      <c r="F19" s="432">
        <f>+'todruulga-busad'!F19/1000</f>
        <v>0</v>
      </c>
      <c r="G19" s="432">
        <f>+'todruulga-busad'!G19/1000</f>
        <v>8595987.3582199998</v>
      </c>
      <c r="H19" s="432">
        <f>+'todruulga-busad'!H19/1000</f>
        <v>0</v>
      </c>
      <c r="I19" s="432">
        <f>+'todruulga-busad'!I19/1000</f>
        <v>0</v>
      </c>
      <c r="J19" s="432">
        <f>+'todruulga-busad'!J19/1000</f>
        <v>0</v>
      </c>
      <c r="K19" s="432">
        <f>+'todruulga-busad'!K19/1000</f>
        <v>0</v>
      </c>
      <c r="L19" s="432">
        <f>+'todruulga-busad'!L19/1000</f>
        <v>0</v>
      </c>
      <c r="M19" s="432">
        <f>+'todruulga-busad'!M19/1000</f>
        <v>11691289.873919999</v>
      </c>
      <c r="N19" s="432">
        <f>+'todruulga-busad'!N19/1000</f>
        <v>79603747.972759992</v>
      </c>
      <c r="O19" s="327">
        <f t="shared" si="0"/>
        <v>80990773.786319986</v>
      </c>
    </row>
    <row r="20" spans="1:16">
      <c r="A20" s="264">
        <v>2</v>
      </c>
      <c r="B20" s="265" t="s">
        <v>17</v>
      </c>
      <c r="C20" s="432">
        <f>+'todruulga-busad'!C20/1000</f>
        <v>0</v>
      </c>
      <c r="D20" s="432">
        <f>+'todruulga-busad'!D20/1000</f>
        <v>0</v>
      </c>
      <c r="E20" s="432">
        <f>+'todruulga-busad'!E20/1000</f>
        <v>0</v>
      </c>
      <c r="F20" s="432">
        <f>+'todruulga-busad'!F20/1000</f>
        <v>0</v>
      </c>
      <c r="G20" s="432">
        <f>+'todruulga-busad'!G20/1000</f>
        <v>0</v>
      </c>
      <c r="H20" s="432">
        <f>+'todruulga-busad'!H20/1000</f>
        <v>0</v>
      </c>
      <c r="I20" s="432">
        <f>+'todruulga-busad'!I20/1000</f>
        <v>0</v>
      </c>
      <c r="J20" s="432">
        <f>+'todruulga-busad'!J20/1000</f>
        <v>0</v>
      </c>
      <c r="K20" s="432">
        <f>+'todruulga-busad'!K20/1000</f>
        <v>0</v>
      </c>
      <c r="L20" s="432">
        <f>+'todruulga-busad'!L20/1000</f>
        <v>0</v>
      </c>
      <c r="M20" s="432">
        <f>+'todruulga-busad'!M20/1000</f>
        <v>0</v>
      </c>
      <c r="N20" s="432">
        <f>+'todruulga-busad'!N20/1000</f>
        <v>0</v>
      </c>
      <c r="O20" s="327">
        <f t="shared" si="0"/>
        <v>0</v>
      </c>
    </row>
    <row r="21" spans="1:16">
      <c r="A21" s="266">
        <v>2.1</v>
      </c>
      <c r="B21" s="267" t="s">
        <v>274</v>
      </c>
      <c r="C21" s="432">
        <f>+'todruulga-busad'!C21/1000</f>
        <v>0</v>
      </c>
      <c r="D21" s="432">
        <f>+'todruulga-busad'!D21/1000</f>
        <v>0</v>
      </c>
      <c r="E21" s="432">
        <f>+'todruulga-busad'!E21/1000</f>
        <v>0</v>
      </c>
      <c r="F21" s="432">
        <f>+'todruulga-busad'!F21/1000</f>
        <v>0</v>
      </c>
      <c r="G21" s="432">
        <f>+'todruulga-busad'!G21/1000</f>
        <v>0</v>
      </c>
      <c r="H21" s="432">
        <f>+'todruulga-busad'!H21/1000</f>
        <v>0</v>
      </c>
      <c r="I21" s="432">
        <f>+'todruulga-busad'!I21/1000</f>
        <v>0</v>
      </c>
      <c r="J21" s="432">
        <f>+'todruulga-busad'!J21/1000</f>
        <v>0</v>
      </c>
      <c r="K21" s="432">
        <f>+'todruulga-busad'!K21/1000</f>
        <v>0</v>
      </c>
      <c r="L21" s="432">
        <f>+'todruulga-busad'!L21/1000</f>
        <v>0</v>
      </c>
      <c r="M21" s="432">
        <f>+'todruulga-busad'!M21/1000</f>
        <v>0</v>
      </c>
      <c r="N21" s="432">
        <f>+'todruulga-busad'!N21/1000</f>
        <v>0</v>
      </c>
      <c r="O21" s="327">
        <f t="shared" si="0"/>
        <v>0</v>
      </c>
    </row>
    <row r="22" spans="1:16">
      <c r="A22" s="266">
        <v>2.2000000000000002</v>
      </c>
      <c r="B22" s="268" t="s">
        <v>479</v>
      </c>
      <c r="C22" s="432">
        <f>+'todruulga-busad'!C22/1000</f>
        <v>115905.25871000001</v>
      </c>
      <c r="D22" s="432">
        <f>+'todruulga-busad'!D22/1000</f>
        <v>38502.229799999994</v>
      </c>
      <c r="E22" s="432">
        <f>+'todruulga-busad'!E22/1000</f>
        <v>0</v>
      </c>
      <c r="F22" s="432">
        <f>+'todruulga-busad'!F22/1000</f>
        <v>0</v>
      </c>
      <c r="G22" s="432">
        <f>+'todruulga-busad'!G22/1000</f>
        <v>0</v>
      </c>
      <c r="H22" s="432">
        <f>+'todruulga-busad'!H22/1000</f>
        <v>0</v>
      </c>
      <c r="I22" s="432">
        <f>+'todruulga-busad'!I22/1000</f>
        <v>0</v>
      </c>
      <c r="J22" s="432">
        <f>+'todruulga-busad'!J22/1000</f>
        <v>0</v>
      </c>
      <c r="K22" s="432">
        <f>+'todruulga-busad'!K22/1000</f>
        <v>0</v>
      </c>
      <c r="L22" s="432">
        <f>+'todruulga-busad'!L22/1000</f>
        <v>0</v>
      </c>
      <c r="M22" s="432">
        <f>+'todruulga-busad'!M22/1000</f>
        <v>38502.229799999994</v>
      </c>
      <c r="N22" s="432">
        <f>+'todruulga-busad'!N22/1000</f>
        <v>154407.48851</v>
      </c>
      <c r="O22" s="327">
        <f t="shared" si="0"/>
        <v>154407.48851</v>
      </c>
    </row>
    <row r="23" spans="1:16">
      <c r="A23" s="266" t="s">
        <v>480</v>
      </c>
      <c r="B23" s="268" t="s">
        <v>481</v>
      </c>
      <c r="C23" s="432">
        <f>+'todruulga-busad'!C23/1000</f>
        <v>0</v>
      </c>
      <c r="D23" s="432">
        <f>+'todruulga-busad'!D23/1000</f>
        <v>0</v>
      </c>
      <c r="E23" s="432">
        <f>+'todruulga-busad'!E23/1000</f>
        <v>0</v>
      </c>
      <c r="F23" s="432">
        <f>+'todruulga-busad'!F23/1000</f>
        <v>0</v>
      </c>
      <c r="G23" s="432">
        <f>+'todruulga-busad'!G23/1000</f>
        <v>0</v>
      </c>
      <c r="H23" s="432">
        <f>+'todruulga-busad'!H23/1000</f>
        <v>0</v>
      </c>
      <c r="I23" s="432">
        <f>+'todruulga-busad'!I23/1000</f>
        <v>0</v>
      </c>
      <c r="J23" s="432">
        <f>+'todruulga-busad'!J23/1000</f>
        <v>0</v>
      </c>
      <c r="K23" s="432">
        <f>+'todruulga-busad'!K23/1000</f>
        <v>0</v>
      </c>
      <c r="L23" s="432">
        <f>+'todruulga-busad'!L23/1000</f>
        <v>0</v>
      </c>
      <c r="M23" s="432">
        <f>+'todruulga-busad'!M23/1000</f>
        <v>0</v>
      </c>
      <c r="N23" s="432">
        <f>+'todruulga-busad'!N23/1000</f>
        <v>0</v>
      </c>
      <c r="O23" s="327">
        <f t="shared" si="0"/>
        <v>0</v>
      </c>
    </row>
    <row r="24" spans="1:16">
      <c r="A24" s="266" t="s">
        <v>482</v>
      </c>
      <c r="B24" s="267" t="s">
        <v>483</v>
      </c>
      <c r="C24" s="432">
        <f>+'todruulga-busad'!C24/1000</f>
        <v>0</v>
      </c>
      <c r="D24" s="432">
        <f>+'todruulga-busad'!D24/1000</f>
        <v>0</v>
      </c>
      <c r="E24" s="432">
        <f>+'todruulga-busad'!E24/1000</f>
        <v>0</v>
      </c>
      <c r="F24" s="432">
        <f>+'todruulga-busad'!F24/1000</f>
        <v>0</v>
      </c>
      <c r="G24" s="432">
        <f>+'todruulga-busad'!G24/1000</f>
        <v>0</v>
      </c>
      <c r="H24" s="432">
        <f>+'todruulga-busad'!H24/1000</f>
        <v>0</v>
      </c>
      <c r="I24" s="432">
        <f>+'todruulga-busad'!I24/1000</f>
        <v>0</v>
      </c>
      <c r="J24" s="432">
        <f>+'todruulga-busad'!J24/1000</f>
        <v>0</v>
      </c>
      <c r="K24" s="432">
        <f>+'todruulga-busad'!K24/1000</f>
        <v>0</v>
      </c>
      <c r="L24" s="432">
        <f>+'todruulga-busad'!L24/1000</f>
        <v>0</v>
      </c>
      <c r="M24" s="432">
        <f>+'todruulga-busad'!M24/1000</f>
        <v>0</v>
      </c>
      <c r="N24" s="432">
        <f>+'todruulga-busad'!N24/1000</f>
        <v>0</v>
      </c>
      <c r="O24" s="327">
        <f t="shared" si="0"/>
        <v>0</v>
      </c>
    </row>
    <row r="25" spans="1:16">
      <c r="A25" s="266">
        <v>2.2999999999999998</v>
      </c>
      <c r="B25" s="267" t="s">
        <v>276</v>
      </c>
      <c r="C25" s="432">
        <f>+'todruulga-busad'!C25/1000</f>
        <v>0</v>
      </c>
      <c r="D25" s="432">
        <f>+'todruulga-busad'!D25/1000</f>
        <v>0</v>
      </c>
      <c r="E25" s="432">
        <f>+'todruulga-busad'!E25/1000</f>
        <v>0</v>
      </c>
      <c r="F25" s="432">
        <f>+'todruulga-busad'!F25/1000</f>
        <v>0</v>
      </c>
      <c r="G25" s="432">
        <f>+'todruulga-busad'!G25/1000</f>
        <v>0</v>
      </c>
      <c r="H25" s="432">
        <f>+'todruulga-busad'!H25/1000</f>
        <v>0</v>
      </c>
      <c r="I25" s="432">
        <f>+'todruulga-busad'!I25/1000</f>
        <v>0</v>
      </c>
      <c r="J25" s="432">
        <f>+'todruulga-busad'!J25/1000</f>
        <v>0</v>
      </c>
      <c r="K25" s="432">
        <f>+'todruulga-busad'!K25/1000</f>
        <v>0</v>
      </c>
      <c r="L25" s="432">
        <f>+'todruulga-busad'!L25/1000</f>
        <v>0</v>
      </c>
      <c r="M25" s="432">
        <f>+'todruulga-busad'!M25/1000</f>
        <v>0</v>
      </c>
      <c r="N25" s="432">
        <f>+'todruulga-busad'!N25/1000</f>
        <v>0</v>
      </c>
      <c r="O25" s="327">
        <f t="shared" si="0"/>
        <v>0</v>
      </c>
    </row>
    <row r="26" spans="1:16">
      <c r="A26" s="266">
        <v>2.4</v>
      </c>
      <c r="B26" s="267" t="s">
        <v>277</v>
      </c>
      <c r="C26" s="432">
        <f>+'todruulga-busad'!C26/1000</f>
        <v>141869.45793999999</v>
      </c>
      <c r="D26" s="432">
        <f>+'todruulga-busad'!D26/1000</f>
        <v>0</v>
      </c>
      <c r="E26" s="432">
        <f>+'todruulga-busad'!E26/1000</f>
        <v>0</v>
      </c>
      <c r="F26" s="432">
        <f>+'todruulga-busad'!F26/1000</f>
        <v>0</v>
      </c>
      <c r="G26" s="432">
        <f>+'todruulga-busad'!G26/1000</f>
        <v>0</v>
      </c>
      <c r="H26" s="432">
        <f>+'todruulga-busad'!H26/1000</f>
        <v>0</v>
      </c>
      <c r="I26" s="432">
        <f>+'todruulga-busad'!I26/1000</f>
        <v>0</v>
      </c>
      <c r="J26" s="432">
        <f>+'todruulga-busad'!J26/1000</f>
        <v>0</v>
      </c>
      <c r="K26" s="432">
        <f>+'todruulga-busad'!K26/1000</f>
        <v>0</v>
      </c>
      <c r="L26" s="432">
        <f>+'todruulga-busad'!L26/1000</f>
        <v>0</v>
      </c>
      <c r="M26" s="432">
        <f>+'todruulga-busad'!M26/1000</f>
        <v>0</v>
      </c>
      <c r="N26" s="432">
        <f>+'todruulga-busad'!N26/1000</f>
        <v>141869.45793999999</v>
      </c>
      <c r="O26" s="327">
        <f t="shared" si="0"/>
        <v>141869.45793999999</v>
      </c>
    </row>
    <row r="27" spans="1:16">
      <c r="A27" s="266">
        <v>2.5</v>
      </c>
      <c r="B27" s="267" t="s">
        <v>278</v>
      </c>
      <c r="C27" s="432">
        <f>+'todruulga-busad'!C27/1000</f>
        <v>0</v>
      </c>
      <c r="D27" s="432">
        <f>+'todruulga-busad'!D27/1000</f>
        <v>0</v>
      </c>
      <c r="E27" s="432">
        <f>+'todruulga-busad'!E27/1000</f>
        <v>0</v>
      </c>
      <c r="F27" s="432">
        <f>+'todruulga-busad'!F27/1000</f>
        <v>0</v>
      </c>
      <c r="G27" s="432">
        <f>+'todruulga-busad'!G27/1000</f>
        <v>0</v>
      </c>
      <c r="H27" s="432">
        <f>+'todruulga-busad'!H27/1000</f>
        <v>0</v>
      </c>
      <c r="I27" s="432">
        <f>+'todruulga-busad'!I27/1000</f>
        <v>0</v>
      </c>
      <c r="J27" s="432">
        <f>+'todruulga-busad'!J27/1000</f>
        <v>0</v>
      </c>
      <c r="K27" s="432">
        <f>+'todruulga-busad'!K27/1000</f>
        <v>0</v>
      </c>
      <c r="L27" s="432">
        <f>+'todruulga-busad'!L27/1000</f>
        <v>0</v>
      </c>
      <c r="M27" s="432">
        <f>+'todruulga-busad'!M27/1000</f>
        <v>0</v>
      </c>
      <c r="N27" s="432">
        <f>+'todruulga-busad'!N27/1000</f>
        <v>0</v>
      </c>
      <c r="O27" s="327">
        <f t="shared" si="0"/>
        <v>0</v>
      </c>
    </row>
    <row r="28" spans="1:16">
      <c r="A28" s="266">
        <v>2.6</v>
      </c>
      <c r="B28" s="267" t="s">
        <v>279</v>
      </c>
      <c r="C28" s="432">
        <f>+'todruulga-busad'!C28/1000</f>
        <v>0</v>
      </c>
      <c r="D28" s="432">
        <f>+'todruulga-busad'!D28/1000</f>
        <v>0</v>
      </c>
      <c r="E28" s="432">
        <f>+'todruulga-busad'!E28/1000</f>
        <v>0</v>
      </c>
      <c r="F28" s="432">
        <f>+'todruulga-busad'!F28/1000</f>
        <v>0</v>
      </c>
      <c r="G28" s="432">
        <f>+'todruulga-busad'!G28/1000</f>
        <v>0</v>
      </c>
      <c r="H28" s="432">
        <f>+'todruulga-busad'!H28/1000</f>
        <v>0</v>
      </c>
      <c r="I28" s="432">
        <f>+'todruulga-busad'!I28/1000</f>
        <v>0</v>
      </c>
      <c r="J28" s="432">
        <f>+'todruulga-busad'!J28/1000</f>
        <v>0</v>
      </c>
      <c r="K28" s="432">
        <f>+'todruulga-busad'!K28/1000</f>
        <v>0</v>
      </c>
      <c r="L28" s="432">
        <f>+'todruulga-busad'!L28/1000</f>
        <v>0</v>
      </c>
      <c r="M28" s="432">
        <f>+'todruulga-busad'!M28/1000</f>
        <v>0</v>
      </c>
      <c r="N28" s="432">
        <f>+'todruulga-busad'!N28/1000</f>
        <v>0</v>
      </c>
      <c r="O28" s="327">
        <f t="shared" si="0"/>
        <v>0</v>
      </c>
    </row>
    <row r="29" spans="1:16">
      <c r="A29" s="266">
        <v>2.7</v>
      </c>
      <c r="B29" s="267" t="s">
        <v>475</v>
      </c>
      <c r="C29" s="432">
        <f>+'todruulga-busad'!C29/1000</f>
        <v>0</v>
      </c>
      <c r="D29" s="432">
        <f>+'todruulga-busad'!D29/1000</f>
        <v>0</v>
      </c>
      <c r="E29" s="432">
        <f>+'todruulga-busad'!E29/1000</f>
        <v>0</v>
      </c>
      <c r="F29" s="432">
        <f>+'todruulga-busad'!F29/1000</f>
        <v>0</v>
      </c>
      <c r="G29" s="432">
        <f>+'todruulga-busad'!G29/1000</f>
        <v>0</v>
      </c>
      <c r="H29" s="432">
        <f>+'todruulga-busad'!H29/1000</f>
        <v>0</v>
      </c>
      <c r="I29" s="432">
        <f>+'todruulga-busad'!I29/1000</f>
        <v>0</v>
      </c>
      <c r="J29" s="432">
        <f>+'todruulga-busad'!J29/1000</f>
        <v>0</v>
      </c>
      <c r="K29" s="432">
        <f>+'todruulga-busad'!K29/1000</f>
        <v>0</v>
      </c>
      <c r="L29" s="432">
        <f>+'todruulga-busad'!L29/1000</f>
        <v>0</v>
      </c>
      <c r="M29" s="432">
        <f>+'todruulga-busad'!M29/1000</f>
        <v>0</v>
      </c>
      <c r="N29" s="432">
        <f>+'todruulga-busad'!N29/1000</f>
        <v>0</v>
      </c>
      <c r="O29" s="327">
        <f t="shared" si="0"/>
        <v>0</v>
      </c>
    </row>
    <row r="30" spans="1:16" ht="26.4">
      <c r="A30" s="266" t="s">
        <v>484</v>
      </c>
      <c r="B30" s="268" t="s">
        <v>485</v>
      </c>
      <c r="C30" s="432">
        <f>+'todruulga-busad'!C30/1000</f>
        <v>0</v>
      </c>
      <c r="D30" s="432">
        <f>+'todruulga-busad'!D30/1000</f>
        <v>0</v>
      </c>
      <c r="E30" s="432">
        <f>+'todruulga-busad'!E30/1000</f>
        <v>0</v>
      </c>
      <c r="F30" s="432">
        <f>+'todruulga-busad'!F30/1000</f>
        <v>0</v>
      </c>
      <c r="G30" s="432">
        <f>+'todruulga-busad'!G30/1000</f>
        <v>0</v>
      </c>
      <c r="H30" s="432">
        <f>+'todruulga-busad'!H30/1000</f>
        <v>0</v>
      </c>
      <c r="I30" s="432">
        <f>+'todruulga-busad'!I30/1000</f>
        <v>0</v>
      </c>
      <c r="J30" s="432">
        <f>+'todruulga-busad'!J30/1000</f>
        <v>0</v>
      </c>
      <c r="K30" s="432">
        <f>+'todruulga-busad'!K30/1000</f>
        <v>0</v>
      </c>
      <c r="L30" s="432">
        <f>+'todruulga-busad'!L30/1000</f>
        <v>0</v>
      </c>
      <c r="M30" s="432">
        <f>+'todruulga-busad'!M30/1000</f>
        <v>0</v>
      </c>
      <c r="N30" s="432">
        <f>+'todruulga-busad'!N30/1000</f>
        <v>0</v>
      </c>
      <c r="O30" s="327">
        <f t="shared" si="0"/>
        <v>0</v>
      </c>
    </row>
    <row r="31" spans="1:16">
      <c r="A31" s="264">
        <v>2.8</v>
      </c>
      <c r="B31" s="269" t="s">
        <v>486</v>
      </c>
      <c r="C31" s="432">
        <f>+'todruulga-busad'!C31/1000</f>
        <v>257774.71665000002</v>
      </c>
      <c r="D31" s="432">
        <f>+'todruulga-busad'!D31/1000</f>
        <v>38502.229799999994</v>
      </c>
      <c r="E31" s="432">
        <f>+'todruulga-busad'!E31/1000</f>
        <v>0</v>
      </c>
      <c r="F31" s="432">
        <f>+'todruulga-busad'!F31/1000</f>
        <v>0</v>
      </c>
      <c r="G31" s="432">
        <f>+'todruulga-busad'!G31/1000</f>
        <v>0</v>
      </c>
      <c r="H31" s="432">
        <f>+'todruulga-busad'!H31/1000</f>
        <v>0</v>
      </c>
      <c r="I31" s="432">
        <f>+'todruulga-busad'!I31/1000</f>
        <v>0</v>
      </c>
      <c r="J31" s="432">
        <f>+'todruulga-busad'!J31/1000</f>
        <v>0</v>
      </c>
      <c r="K31" s="432">
        <f>+'todruulga-busad'!K31/1000</f>
        <v>0</v>
      </c>
      <c r="L31" s="432">
        <f>+'todruulga-busad'!L31/1000</f>
        <v>0</v>
      </c>
      <c r="M31" s="432">
        <f>+'todruulga-busad'!M31/1000</f>
        <v>38502.229799999994</v>
      </c>
      <c r="N31" s="432">
        <f>+'todruulga-busad'!N31/1000</f>
        <v>296276.94644999999</v>
      </c>
      <c r="O31" s="327">
        <f t="shared" si="0"/>
        <v>296276.94644999999</v>
      </c>
    </row>
    <row r="32" spans="1:16">
      <c r="A32" s="266">
        <v>3</v>
      </c>
      <c r="B32" s="268" t="s">
        <v>487</v>
      </c>
      <c r="C32" s="432">
        <f>+'todruulga-busad'!C32/1000</f>
        <v>0</v>
      </c>
      <c r="D32" s="432">
        <f>+'todruulga-busad'!D32/1000</f>
        <v>0</v>
      </c>
      <c r="E32" s="432">
        <f>+'todruulga-busad'!E32/1000</f>
        <v>0</v>
      </c>
      <c r="F32" s="432">
        <f>+'todruulga-busad'!F32/1000</f>
        <v>0</v>
      </c>
      <c r="G32" s="432">
        <f>+'todruulga-busad'!G32/1000</f>
        <v>0</v>
      </c>
      <c r="H32" s="432">
        <f>+'todruulga-busad'!H32/1000</f>
        <v>0</v>
      </c>
      <c r="I32" s="432">
        <f>+'todruulga-busad'!I32/1000</f>
        <v>0</v>
      </c>
      <c r="J32" s="432">
        <f>+'todruulga-busad'!J32/1000</f>
        <v>0</v>
      </c>
      <c r="K32" s="432">
        <f>+'todruulga-busad'!K32/1000</f>
        <v>0</v>
      </c>
      <c r="L32" s="432">
        <f>+'todruulga-busad'!L32/1000</f>
        <v>0</v>
      </c>
      <c r="M32" s="432">
        <f>+'todruulga-busad'!M32/1000</f>
        <v>0</v>
      </c>
      <c r="N32" s="432">
        <f>+'todruulga-busad'!N32/1000</f>
        <v>0</v>
      </c>
      <c r="O32" s="327">
        <f t="shared" si="0"/>
        <v>0</v>
      </c>
    </row>
    <row r="33" spans="1:15">
      <c r="A33" s="266">
        <v>3.1</v>
      </c>
      <c r="B33" s="267" t="s">
        <v>488</v>
      </c>
      <c r="C33" s="432">
        <f>+'todruulga-busad'!C33/1000</f>
        <v>0</v>
      </c>
      <c r="D33" s="432">
        <f>+'todruulga-busad'!D33/1000</f>
        <v>0</v>
      </c>
      <c r="E33" s="432">
        <f>+'todruulga-busad'!E33/1000</f>
        <v>0</v>
      </c>
      <c r="F33" s="432">
        <f>+'todruulga-busad'!F33/1000</f>
        <v>0</v>
      </c>
      <c r="G33" s="432">
        <f>+'todruulga-busad'!G33/1000</f>
        <v>0</v>
      </c>
      <c r="H33" s="432">
        <f>+'todruulga-busad'!H33/1000</f>
        <v>0</v>
      </c>
      <c r="I33" s="432">
        <f>+'todruulga-busad'!I33/1000</f>
        <v>0</v>
      </c>
      <c r="J33" s="432">
        <f>+'todruulga-busad'!J33/1000</f>
        <v>0</v>
      </c>
      <c r="K33" s="432">
        <f>+'todruulga-busad'!K33/1000</f>
        <v>0</v>
      </c>
      <c r="L33" s="432">
        <f>+'todruulga-busad'!L33/1000</f>
        <v>0</v>
      </c>
      <c r="M33" s="432">
        <f>+'todruulga-busad'!M33/1000</f>
        <v>0</v>
      </c>
      <c r="N33" s="432">
        <f>+'todruulga-busad'!N33/1000</f>
        <v>0</v>
      </c>
      <c r="O33" s="327">
        <f t="shared" si="0"/>
        <v>0</v>
      </c>
    </row>
    <row r="34" spans="1:15">
      <c r="A34" s="266">
        <v>3.2</v>
      </c>
      <c r="B34" s="267" t="s">
        <v>489</v>
      </c>
      <c r="C34" s="432">
        <f>+'todruulga-busad'!C34/1000</f>
        <v>0</v>
      </c>
      <c r="D34" s="432">
        <f>+'todruulga-busad'!D34/1000</f>
        <v>0</v>
      </c>
      <c r="E34" s="432">
        <f>+'todruulga-busad'!E34/1000</f>
        <v>0</v>
      </c>
      <c r="F34" s="432">
        <f>+'todruulga-busad'!F34/1000</f>
        <v>0</v>
      </c>
      <c r="G34" s="432">
        <f>+'todruulga-busad'!G34/1000</f>
        <v>0</v>
      </c>
      <c r="H34" s="432">
        <f>+'todruulga-busad'!H34/1000</f>
        <v>0</v>
      </c>
      <c r="I34" s="432">
        <f>+'todruulga-busad'!I34/1000</f>
        <v>0</v>
      </c>
      <c r="J34" s="432">
        <f>+'todruulga-busad'!J34/1000</f>
        <v>0</v>
      </c>
      <c r="K34" s="432">
        <f>+'todruulga-busad'!K34/1000</f>
        <v>0</v>
      </c>
      <c r="L34" s="432">
        <f>+'todruulga-busad'!L34/1000</f>
        <v>0</v>
      </c>
      <c r="M34" s="432">
        <f>+'todruulga-busad'!M34/1000</f>
        <v>0</v>
      </c>
      <c r="N34" s="432">
        <f>+'todruulga-busad'!N34/1000</f>
        <v>0</v>
      </c>
      <c r="O34" s="327">
        <f t="shared" si="0"/>
        <v>0</v>
      </c>
    </row>
    <row r="35" spans="1:15" ht="13.8" thickBot="1">
      <c r="A35" s="270">
        <v>4</v>
      </c>
      <c r="B35" s="265" t="s">
        <v>490</v>
      </c>
      <c r="C35" s="432">
        <f>+'todruulga-busad'!C35/1000</f>
        <v>69557258.629049987</v>
      </c>
      <c r="D35" s="432">
        <f>+'todruulga-busad'!D35/1000</f>
        <v>3133804.7455000011</v>
      </c>
      <c r="E35" s="432">
        <f>+'todruulga-busad'!E35/1000</f>
        <v>0</v>
      </c>
      <c r="F35" s="432">
        <f>+'todruulga-busad'!F35/1000</f>
        <v>0</v>
      </c>
      <c r="G35" s="432">
        <f>+'todruulga-busad'!G35/1000</f>
        <v>8595987.3582199998</v>
      </c>
      <c r="H35" s="432">
        <f>+'todruulga-busad'!H35/1000</f>
        <v>0</v>
      </c>
      <c r="I35" s="432">
        <f>+'todruulga-busad'!I35/1000</f>
        <v>0</v>
      </c>
      <c r="J35" s="432">
        <f>+'todruulga-busad'!J35/1000</f>
        <v>0</v>
      </c>
      <c r="K35" s="432">
        <f>+'todruulga-busad'!K35/1000</f>
        <v>0</v>
      </c>
      <c r="L35" s="432">
        <f>+'todruulga-busad'!L35/1000</f>
        <v>0</v>
      </c>
      <c r="M35" s="432">
        <f>+'todruulga-busad'!M35/1000</f>
        <v>11729792.10372</v>
      </c>
      <c r="N35" s="432">
        <f>+'todruulga-busad'!N35/1000</f>
        <v>79900024.919209987</v>
      </c>
      <c r="O35" s="327">
        <f t="shared" si="0"/>
        <v>81287050.732769981</v>
      </c>
    </row>
    <row r="36" spans="1:15">
      <c r="A36" s="271"/>
      <c r="B36" s="271"/>
      <c r="C36" s="226"/>
      <c r="D36" s="226"/>
      <c r="E36" s="226"/>
      <c r="F36" s="226"/>
      <c r="G36" s="226"/>
      <c r="H36" s="226"/>
      <c r="I36" s="226"/>
      <c r="J36" s="226"/>
      <c r="K36" s="226"/>
      <c r="L36" s="226"/>
      <c r="M36" s="226"/>
      <c r="N36" s="325">
        <v>79824609253.149979</v>
      </c>
      <c r="O36" s="327"/>
    </row>
    <row r="37" spans="1:15" ht="13.8">
      <c r="A37" s="272" t="s">
        <v>491</v>
      </c>
      <c r="B37" s="273"/>
      <c r="C37" s="226"/>
      <c r="D37" s="226"/>
      <c r="E37" s="226"/>
      <c r="F37" s="226"/>
      <c r="G37" s="226"/>
      <c r="H37" s="226"/>
      <c r="I37" s="226"/>
      <c r="J37" s="226"/>
      <c r="K37" s="213"/>
      <c r="L37" s="213"/>
      <c r="M37" s="213"/>
      <c r="N37" s="213"/>
    </row>
    <row r="38" spans="1:15">
      <c r="N38" s="247">
        <v>54673814</v>
      </c>
    </row>
    <row r="39" spans="1:15">
      <c r="N39" s="246">
        <f>+N38-N35</f>
        <v>-25226210.919209987</v>
      </c>
    </row>
    <row r="40" spans="1:15">
      <c r="D40" s="247">
        <f>49678283.7+4783215</f>
        <v>54461498.700000003</v>
      </c>
    </row>
  </sheetData>
  <mergeCells count="6">
    <mergeCell ref="N5:N6"/>
    <mergeCell ref="A2:J2"/>
    <mergeCell ref="A5:A6"/>
    <mergeCell ref="B5:B6"/>
    <mergeCell ref="C5:C6"/>
    <mergeCell ref="D5:M5"/>
  </mergeCells>
  <printOptions horizontalCentered="1"/>
  <pageMargins left="0.17" right="0.17" top="0.75" bottom="0.57999999999999996" header="0.3" footer="0.3"/>
  <pageSetup paperSize="9" scale="83"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88"/>
  <sheetViews>
    <sheetView workbookViewId="0">
      <selection activeCell="G43" activeCellId="1" sqref="B5:C5 G43"/>
    </sheetView>
  </sheetViews>
  <sheetFormatPr defaultColWidth="9.109375" defaultRowHeight="13.2"/>
  <cols>
    <col min="1" max="1" width="8.33203125" style="250" customWidth="1"/>
    <col min="2" max="2" width="20.5546875" style="250" customWidth="1"/>
    <col min="3" max="3" width="19.109375" style="250" customWidth="1"/>
    <col min="4" max="5" width="17.88671875" style="250" customWidth="1"/>
    <col min="6" max="6" width="17.44140625" style="250" customWidth="1"/>
    <col min="7" max="7" width="9.109375" style="250"/>
    <col min="8" max="10" width="23.88671875" style="250" customWidth="1"/>
    <col min="11" max="11" width="14.6640625" style="250" customWidth="1"/>
    <col min="12" max="16384" width="9.109375" style="250"/>
  </cols>
  <sheetData>
    <row r="1" spans="1:6" ht="7.5" customHeight="1"/>
    <row r="2" spans="1:6" ht="11.25" customHeight="1">
      <c r="A2" s="1193" t="s">
        <v>794</v>
      </c>
      <c r="B2" s="1193"/>
      <c r="C2" s="971" t="s">
        <v>795</v>
      </c>
      <c r="D2" s="971"/>
      <c r="E2" s="971"/>
      <c r="F2" s="971"/>
    </row>
    <row r="3" spans="1:6" ht="6" customHeight="1"/>
    <row r="4" spans="1:6" ht="23.25" customHeight="1">
      <c r="E4" s="1194" t="s">
        <v>796</v>
      </c>
      <c r="F4" s="1194"/>
    </row>
    <row r="5" spans="1:6" ht="6.75" customHeight="1"/>
    <row r="6" spans="1:6" ht="24" customHeight="1">
      <c r="A6" s="1195" t="s">
        <v>794</v>
      </c>
      <c r="B6" s="1195"/>
      <c r="C6" s="1195"/>
      <c r="D6" s="1195"/>
      <c r="E6" s="1195"/>
      <c r="F6" s="1195"/>
    </row>
    <row r="7" spans="1:6" ht="12" customHeight="1"/>
    <row r="8" spans="1:6" ht="14.25" customHeight="1">
      <c r="A8" s="970" t="s">
        <v>797</v>
      </c>
      <c r="B8" s="970"/>
      <c r="C8" s="970"/>
      <c r="D8" s="970"/>
      <c r="E8" s="972" t="s">
        <v>798</v>
      </c>
      <c r="F8" s="972"/>
    </row>
    <row r="9" spans="1:6" ht="6.75" customHeight="1"/>
    <row r="10" spans="1:6" ht="14.25" customHeight="1">
      <c r="A10" s="274" t="s">
        <v>799</v>
      </c>
      <c r="B10" s="1196" t="s">
        <v>800</v>
      </c>
      <c r="C10" s="1196"/>
      <c r="D10" s="1196"/>
      <c r="E10" s="1196" t="s">
        <v>801</v>
      </c>
      <c r="F10" s="1196"/>
    </row>
    <row r="11" spans="1:6" ht="14.25" customHeight="1">
      <c r="A11" s="275"/>
      <c r="B11" s="276" t="s">
        <v>802</v>
      </c>
      <c r="C11" s="1197" t="s">
        <v>803</v>
      </c>
      <c r="D11" s="1197"/>
      <c r="E11" s="276" t="s">
        <v>804</v>
      </c>
      <c r="F11" s="277" t="s">
        <v>805</v>
      </c>
    </row>
    <row r="12" spans="1:6" ht="14.25" customHeight="1">
      <c r="A12" s="278">
        <v>0</v>
      </c>
      <c r="B12" s="279" t="s">
        <v>806</v>
      </c>
      <c r="C12" s="1192" t="s">
        <v>807</v>
      </c>
      <c r="D12" s="1192"/>
      <c r="E12" s="280">
        <v>10743582407.83</v>
      </c>
      <c r="F12" s="280">
        <v>10868680281.58</v>
      </c>
    </row>
    <row r="13" spans="1:6" ht="15" customHeight="1">
      <c r="A13" s="278">
        <v>0</v>
      </c>
      <c r="B13" s="279" t="s">
        <v>808</v>
      </c>
      <c r="C13" s="1192" t="s">
        <v>809</v>
      </c>
      <c r="D13" s="1192"/>
      <c r="E13" s="280">
        <v>611383847.88</v>
      </c>
      <c r="F13" s="280">
        <v>0</v>
      </c>
    </row>
    <row r="14" spans="1:6" ht="14.25" customHeight="1">
      <c r="A14" s="278">
        <v>0</v>
      </c>
      <c r="B14" s="279" t="s">
        <v>810</v>
      </c>
      <c r="C14" s="1192" t="s">
        <v>811</v>
      </c>
      <c r="D14" s="1192"/>
      <c r="E14" s="280">
        <v>0</v>
      </c>
      <c r="F14" s="280">
        <v>652816195.03999996</v>
      </c>
    </row>
    <row r="15" spans="1:6" ht="14.25" customHeight="1">
      <c r="A15" s="278">
        <v>0</v>
      </c>
      <c r="B15" s="279" t="s">
        <v>812</v>
      </c>
      <c r="C15" s="1192" t="s">
        <v>813</v>
      </c>
      <c r="D15" s="1192"/>
      <c r="E15" s="280">
        <v>652816194.88999999</v>
      </c>
      <c r="F15" s="280">
        <v>89302310.450000003</v>
      </c>
    </row>
    <row r="16" spans="1:6" ht="14.25" customHeight="1">
      <c r="A16" s="278">
        <v>0</v>
      </c>
      <c r="B16" s="279" t="s">
        <v>814</v>
      </c>
      <c r="C16" s="1192" t="s">
        <v>815</v>
      </c>
      <c r="D16" s="1192"/>
      <c r="E16" s="280">
        <v>0</v>
      </c>
      <c r="F16" s="280">
        <v>522081537.27999997</v>
      </c>
    </row>
    <row r="17" spans="1:6" ht="14.25" customHeight="1">
      <c r="A17" s="278">
        <v>0</v>
      </c>
      <c r="B17" s="279" t="s">
        <v>816</v>
      </c>
      <c r="C17" s="1192" t="s">
        <v>817</v>
      </c>
      <c r="D17" s="1192"/>
      <c r="E17" s="280">
        <v>0</v>
      </c>
      <c r="F17" s="280">
        <v>0.25</v>
      </c>
    </row>
    <row r="18" spans="1:6" ht="15" customHeight="1">
      <c r="A18" s="278">
        <v>0</v>
      </c>
      <c r="B18" s="279" t="s">
        <v>818</v>
      </c>
      <c r="C18" s="1192" t="s">
        <v>819</v>
      </c>
      <c r="D18" s="1192"/>
      <c r="E18" s="280">
        <v>16522.18</v>
      </c>
      <c r="F18" s="280">
        <v>0</v>
      </c>
    </row>
    <row r="19" spans="1:6" ht="14.25" customHeight="1">
      <c r="A19" s="278">
        <v>0</v>
      </c>
      <c r="B19" s="279" t="s">
        <v>820</v>
      </c>
      <c r="C19" s="1192" t="s">
        <v>821</v>
      </c>
      <c r="D19" s="1192"/>
      <c r="E19" s="280">
        <v>766874.26</v>
      </c>
      <c r="F19" s="280">
        <v>0</v>
      </c>
    </row>
    <row r="20" spans="1:6" ht="14.25" customHeight="1">
      <c r="A20" s="278">
        <v>0</v>
      </c>
      <c r="B20" s="279" t="s">
        <v>822</v>
      </c>
      <c r="C20" s="1192" t="s">
        <v>823</v>
      </c>
      <c r="D20" s="1192"/>
      <c r="E20" s="280">
        <v>4493810.8</v>
      </c>
      <c r="F20" s="280">
        <v>0</v>
      </c>
    </row>
    <row r="21" spans="1:6" ht="14.25" customHeight="1">
      <c r="A21" s="278">
        <v>0</v>
      </c>
      <c r="B21" s="279" t="s">
        <v>824</v>
      </c>
      <c r="C21" s="1192" t="s">
        <v>825</v>
      </c>
      <c r="D21" s="1192"/>
      <c r="E21" s="280">
        <v>8848890.4900000002</v>
      </c>
      <c r="F21" s="280">
        <v>0</v>
      </c>
    </row>
    <row r="22" spans="1:6" ht="14.25" customHeight="1">
      <c r="A22" s="278">
        <v>0</v>
      </c>
      <c r="B22" s="279" t="s">
        <v>826</v>
      </c>
      <c r="C22" s="1192" t="s">
        <v>827</v>
      </c>
      <c r="D22" s="1192"/>
      <c r="E22" s="280">
        <v>693964800</v>
      </c>
      <c r="F22" s="280">
        <v>381873600</v>
      </c>
    </row>
    <row r="23" spans="1:6" ht="15" customHeight="1">
      <c r="A23" s="278">
        <v>0</v>
      </c>
      <c r="B23" s="279" t="s">
        <v>828</v>
      </c>
      <c r="C23" s="1192" t="s">
        <v>829</v>
      </c>
      <c r="D23" s="1192"/>
      <c r="E23" s="280">
        <v>602350000</v>
      </c>
      <c r="F23" s="280">
        <v>98300000</v>
      </c>
    </row>
    <row r="24" spans="1:6" ht="14.25" customHeight="1">
      <c r="A24" s="278">
        <v>0</v>
      </c>
      <c r="B24" s="279" t="s">
        <v>830</v>
      </c>
      <c r="C24" s="1192" t="s">
        <v>831</v>
      </c>
      <c r="D24" s="1192"/>
      <c r="E24" s="280">
        <v>0</v>
      </c>
      <c r="F24" s="280">
        <v>90307.56</v>
      </c>
    </row>
    <row r="25" spans="1:6" ht="14.25" customHeight="1">
      <c r="A25" s="278">
        <v>0</v>
      </c>
      <c r="B25" s="279" t="s">
        <v>832</v>
      </c>
      <c r="C25" s="1192" t="s">
        <v>833</v>
      </c>
      <c r="D25" s="1192"/>
      <c r="E25" s="280">
        <v>19505.38</v>
      </c>
      <c r="F25" s="280">
        <v>290.70999999999998</v>
      </c>
    </row>
    <row r="26" spans="1:6" ht="14.25" customHeight="1">
      <c r="A26" s="278">
        <v>0</v>
      </c>
      <c r="B26" s="279" t="s">
        <v>834</v>
      </c>
      <c r="C26" s="1192" t="s">
        <v>835</v>
      </c>
      <c r="D26" s="1192"/>
      <c r="E26" s="280">
        <v>273473.81</v>
      </c>
      <c r="F26" s="280">
        <v>125320.27</v>
      </c>
    </row>
    <row r="27" spans="1:6" ht="14.25" customHeight="1">
      <c r="A27" s="278">
        <v>0</v>
      </c>
      <c r="B27" s="279" t="s">
        <v>836</v>
      </c>
      <c r="C27" s="1192" t="s">
        <v>837</v>
      </c>
      <c r="D27" s="1192"/>
      <c r="E27" s="280">
        <v>68020542.719999999</v>
      </c>
      <c r="F27" s="280">
        <v>375393204.13</v>
      </c>
    </row>
    <row r="28" spans="1:6" ht="15" customHeight="1">
      <c r="A28" s="278">
        <v>0</v>
      </c>
      <c r="B28" s="279" t="s">
        <v>838</v>
      </c>
      <c r="C28" s="1192" t="s">
        <v>839</v>
      </c>
      <c r="D28" s="1192"/>
      <c r="E28" s="280">
        <v>219851.45</v>
      </c>
      <c r="F28" s="280">
        <v>55079.88</v>
      </c>
    </row>
    <row r="29" spans="1:6" ht="14.25" customHeight="1">
      <c r="A29" s="278">
        <v>0</v>
      </c>
      <c r="B29" s="279" t="s">
        <v>840</v>
      </c>
      <c r="C29" s="1192" t="s">
        <v>841</v>
      </c>
      <c r="D29" s="1192"/>
      <c r="E29" s="280">
        <v>273211.95</v>
      </c>
      <c r="F29" s="280">
        <v>0</v>
      </c>
    </row>
    <row r="30" spans="1:6" ht="14.25" customHeight="1">
      <c r="A30" s="278">
        <v>0</v>
      </c>
      <c r="B30" s="279" t="s">
        <v>842</v>
      </c>
      <c r="C30" s="1192" t="s">
        <v>843</v>
      </c>
      <c r="D30" s="1192"/>
      <c r="E30" s="280">
        <v>7851825.4199999999</v>
      </c>
      <c r="F30" s="280">
        <v>1414167.28</v>
      </c>
    </row>
    <row r="31" spans="1:6" ht="14.25" customHeight="1">
      <c r="A31" s="278">
        <v>0</v>
      </c>
      <c r="B31" s="279" t="s">
        <v>844</v>
      </c>
      <c r="C31" s="1192" t="s">
        <v>845</v>
      </c>
      <c r="D31" s="1192"/>
      <c r="E31" s="280">
        <v>0</v>
      </c>
      <c r="F31" s="280">
        <v>144524.24</v>
      </c>
    </row>
    <row r="32" spans="1:6" ht="14.25" customHeight="1">
      <c r="A32" s="278">
        <v>0</v>
      </c>
      <c r="B32" s="279" t="s">
        <v>846</v>
      </c>
      <c r="C32" s="1192" t="s">
        <v>847</v>
      </c>
      <c r="D32" s="1192"/>
      <c r="E32" s="280">
        <v>0</v>
      </c>
      <c r="F32" s="280">
        <v>4149110.08</v>
      </c>
    </row>
    <row r="33" spans="1:6" ht="15" customHeight="1">
      <c r="A33" s="278">
        <v>0</v>
      </c>
      <c r="B33" s="279" t="s">
        <v>848</v>
      </c>
      <c r="C33" s="1192" t="s">
        <v>849</v>
      </c>
      <c r="D33" s="1192"/>
      <c r="E33" s="280">
        <v>414758750</v>
      </c>
      <c r="F33" s="280">
        <v>202481250</v>
      </c>
    </row>
    <row r="34" spans="1:6" ht="14.25" customHeight="1">
      <c r="A34" s="278">
        <v>0</v>
      </c>
      <c r="B34" s="279" t="s">
        <v>850</v>
      </c>
      <c r="C34" s="1192" t="s">
        <v>25</v>
      </c>
      <c r="D34" s="1192"/>
      <c r="E34" s="280">
        <v>0</v>
      </c>
      <c r="F34" s="280">
        <v>10.86</v>
      </c>
    </row>
    <row r="35" spans="1:6" ht="14.25" customHeight="1">
      <c r="A35" s="278">
        <v>0</v>
      </c>
      <c r="B35" s="279" t="s">
        <v>851</v>
      </c>
      <c r="C35" s="1192" t="s">
        <v>852</v>
      </c>
      <c r="D35" s="1192"/>
      <c r="E35" s="280">
        <v>0</v>
      </c>
      <c r="F35" s="280">
        <v>297250.78000000003</v>
      </c>
    </row>
    <row r="36" spans="1:6" ht="14.25" customHeight="1">
      <c r="A36" s="278">
        <v>0</v>
      </c>
      <c r="B36" s="279" t="s">
        <v>853</v>
      </c>
      <c r="C36" s="1192" t="s">
        <v>854</v>
      </c>
      <c r="D36" s="1192"/>
      <c r="E36" s="280">
        <v>0</v>
      </c>
      <c r="F36" s="280">
        <v>8415787.7200000007</v>
      </c>
    </row>
    <row r="37" spans="1:6" ht="14.25" customHeight="1">
      <c r="A37" s="278">
        <v>0</v>
      </c>
      <c r="B37" s="279" t="s">
        <v>855</v>
      </c>
      <c r="C37" s="1192" t="s">
        <v>856</v>
      </c>
      <c r="D37" s="1192"/>
      <c r="E37" s="280">
        <v>0</v>
      </c>
      <c r="F37" s="280">
        <v>233128</v>
      </c>
    </row>
    <row r="38" spans="1:6" ht="15" customHeight="1">
      <c r="A38" s="278">
        <v>0</v>
      </c>
      <c r="B38" s="279" t="s">
        <v>857</v>
      </c>
      <c r="C38" s="1192" t="s">
        <v>858</v>
      </c>
      <c r="D38" s="1192"/>
      <c r="E38" s="280">
        <v>0</v>
      </c>
      <c r="F38" s="280">
        <v>12054</v>
      </c>
    </row>
    <row r="39" spans="1:6" ht="14.25" customHeight="1">
      <c r="A39" s="278">
        <v>0</v>
      </c>
      <c r="B39" s="279" t="s">
        <v>859</v>
      </c>
      <c r="C39" s="1192" t="s">
        <v>860</v>
      </c>
      <c r="D39" s="1192"/>
      <c r="E39" s="280">
        <v>0</v>
      </c>
      <c r="F39" s="280">
        <v>32745438.100000001</v>
      </c>
    </row>
    <row r="40" spans="1:6" ht="14.25" customHeight="1">
      <c r="A40" s="278">
        <v>0</v>
      </c>
      <c r="B40" s="279" t="s">
        <v>861</v>
      </c>
      <c r="C40" s="1192" t="s">
        <v>862</v>
      </c>
      <c r="D40" s="1192"/>
      <c r="E40" s="280">
        <v>0</v>
      </c>
      <c r="F40" s="280">
        <v>3190405.48</v>
      </c>
    </row>
    <row r="41" spans="1:6" ht="14.25" customHeight="1">
      <c r="A41" s="278">
        <v>0</v>
      </c>
      <c r="B41" s="279" t="s">
        <v>863</v>
      </c>
      <c r="C41" s="1192" t="s">
        <v>864</v>
      </c>
      <c r="D41" s="1192"/>
      <c r="E41" s="280">
        <v>0</v>
      </c>
      <c r="F41" s="280">
        <v>52203837.600000001</v>
      </c>
    </row>
    <row r="42" spans="1:6" ht="14.25" customHeight="1">
      <c r="A42" s="278">
        <v>0</v>
      </c>
      <c r="B42" s="279" t="s">
        <v>865</v>
      </c>
      <c r="C42" s="1192" t="s">
        <v>866</v>
      </c>
      <c r="D42" s="1192"/>
      <c r="E42" s="280">
        <v>22735.32</v>
      </c>
      <c r="F42" s="280">
        <v>0.01</v>
      </c>
    </row>
    <row r="43" spans="1:6" ht="15" customHeight="1">
      <c r="A43" s="278">
        <v>0</v>
      </c>
      <c r="B43" s="279" t="s">
        <v>867</v>
      </c>
      <c r="C43" s="1192" t="s">
        <v>868</v>
      </c>
      <c r="D43" s="1192"/>
      <c r="E43" s="280">
        <v>1089289.3500000001</v>
      </c>
      <c r="F43" s="280">
        <v>0</v>
      </c>
    </row>
    <row r="44" spans="1:6" ht="14.25" customHeight="1">
      <c r="A44" s="278">
        <v>0</v>
      </c>
      <c r="B44" s="279" t="s">
        <v>869</v>
      </c>
      <c r="C44" s="1192" t="s">
        <v>870</v>
      </c>
      <c r="D44" s="1192"/>
      <c r="E44" s="280">
        <v>1919046.68</v>
      </c>
      <c r="F44" s="280">
        <v>515631.6</v>
      </c>
    </row>
    <row r="45" spans="1:6" ht="14.25" customHeight="1">
      <c r="A45" s="278">
        <v>0</v>
      </c>
      <c r="B45" s="279" t="s">
        <v>871</v>
      </c>
      <c r="C45" s="1192" t="s">
        <v>872</v>
      </c>
      <c r="D45" s="1192"/>
      <c r="E45" s="280">
        <v>14748654.16</v>
      </c>
      <c r="F45" s="280">
        <v>451048.27</v>
      </c>
    </row>
    <row r="46" spans="1:6" ht="14.25" customHeight="1">
      <c r="A46" s="278">
        <v>0</v>
      </c>
      <c r="B46" s="279" t="s">
        <v>873</v>
      </c>
      <c r="C46" s="1192" t="s">
        <v>874</v>
      </c>
      <c r="D46" s="1192"/>
      <c r="E46" s="280">
        <v>1370587.83</v>
      </c>
      <c r="F46" s="280">
        <v>0</v>
      </c>
    </row>
    <row r="47" spans="1:6" ht="14.25" customHeight="1">
      <c r="A47" s="278">
        <v>0</v>
      </c>
      <c r="B47" s="279" t="s">
        <v>875</v>
      </c>
      <c r="C47" s="1192" t="s">
        <v>876</v>
      </c>
      <c r="D47" s="1192"/>
      <c r="E47" s="280">
        <v>285276709.25</v>
      </c>
      <c r="F47" s="280">
        <v>588201274.66999996</v>
      </c>
    </row>
    <row r="48" spans="1:6" ht="15" customHeight="1">
      <c r="A48" s="278">
        <v>0</v>
      </c>
      <c r="B48" s="279" t="s">
        <v>877</v>
      </c>
      <c r="C48" s="1192" t="s">
        <v>878</v>
      </c>
      <c r="D48" s="1192"/>
      <c r="E48" s="280">
        <v>12080.58</v>
      </c>
      <c r="F48" s="280">
        <v>60430.47</v>
      </c>
    </row>
    <row r="49" spans="1:6" ht="14.25" customHeight="1">
      <c r="A49" s="278">
        <v>0</v>
      </c>
      <c r="B49" s="279" t="s">
        <v>879</v>
      </c>
      <c r="C49" s="1192" t="s">
        <v>880</v>
      </c>
      <c r="D49" s="1192"/>
      <c r="E49" s="280">
        <v>7107576831.3299999</v>
      </c>
      <c r="F49" s="280">
        <v>7392314417.7799997</v>
      </c>
    </row>
    <row r="50" spans="1:6" ht="14.25" customHeight="1">
      <c r="A50" s="278">
        <v>0</v>
      </c>
      <c r="B50" s="279" t="s">
        <v>881</v>
      </c>
      <c r="C50" s="1192" t="s">
        <v>882</v>
      </c>
      <c r="D50" s="1192"/>
      <c r="E50" s="280">
        <v>2318.23</v>
      </c>
      <c r="F50" s="280">
        <v>29232</v>
      </c>
    </row>
    <row r="51" spans="1:6" ht="14.25" customHeight="1">
      <c r="A51" s="278">
        <v>0</v>
      </c>
      <c r="B51" s="279" t="s">
        <v>883</v>
      </c>
      <c r="C51" s="1192" t="s">
        <v>884</v>
      </c>
      <c r="D51" s="1192"/>
      <c r="E51" s="280">
        <v>3102.14</v>
      </c>
      <c r="F51" s="280">
        <v>0</v>
      </c>
    </row>
    <row r="52" spans="1:6" ht="14.25" customHeight="1">
      <c r="A52" s="278">
        <v>0</v>
      </c>
      <c r="B52" s="279" t="s">
        <v>885</v>
      </c>
      <c r="C52" s="1192" t="s">
        <v>886</v>
      </c>
      <c r="D52" s="1192"/>
      <c r="E52" s="280">
        <v>206548.55</v>
      </c>
      <c r="F52" s="280">
        <v>0</v>
      </c>
    </row>
    <row r="53" spans="1:6" ht="15" customHeight="1">
      <c r="A53" s="278">
        <v>0</v>
      </c>
      <c r="B53" s="279" t="s">
        <v>887</v>
      </c>
      <c r="C53" s="1192" t="s">
        <v>888</v>
      </c>
      <c r="D53" s="1192"/>
      <c r="E53" s="280">
        <v>3250.5</v>
      </c>
      <c r="F53" s="280">
        <v>0</v>
      </c>
    </row>
    <row r="54" spans="1:6" ht="14.25" customHeight="1">
      <c r="A54" s="278">
        <v>0</v>
      </c>
      <c r="B54" s="279" t="s">
        <v>889</v>
      </c>
      <c r="C54" s="1192" t="s">
        <v>890</v>
      </c>
      <c r="D54" s="1192"/>
      <c r="E54" s="280">
        <v>4110.3999999999996</v>
      </c>
      <c r="F54" s="280">
        <v>0</v>
      </c>
    </row>
    <row r="55" spans="1:6" ht="14.25" customHeight="1">
      <c r="A55" s="278">
        <v>0</v>
      </c>
      <c r="B55" s="279" t="s">
        <v>891</v>
      </c>
      <c r="C55" s="1192" t="s">
        <v>892</v>
      </c>
      <c r="D55" s="1192"/>
      <c r="E55" s="280">
        <v>165019.87</v>
      </c>
      <c r="F55" s="280">
        <v>0</v>
      </c>
    </row>
    <row r="56" spans="1:6" ht="14.25" customHeight="1">
      <c r="A56" s="278">
        <v>0</v>
      </c>
      <c r="B56" s="279" t="s">
        <v>893</v>
      </c>
      <c r="C56" s="1192" t="s">
        <v>894</v>
      </c>
      <c r="D56" s="1192"/>
      <c r="E56" s="280">
        <v>83149328.129999995</v>
      </c>
      <c r="F56" s="280">
        <v>524716.78</v>
      </c>
    </row>
    <row r="57" spans="1:6" ht="14.25" customHeight="1">
      <c r="A57" s="278">
        <v>0</v>
      </c>
      <c r="B57" s="279" t="s">
        <v>895</v>
      </c>
      <c r="C57" s="1192" t="s">
        <v>896</v>
      </c>
      <c r="D57" s="1192"/>
      <c r="E57" s="280">
        <v>0</v>
      </c>
      <c r="F57" s="280">
        <v>2631400</v>
      </c>
    </row>
    <row r="58" spans="1:6" ht="15" customHeight="1">
      <c r="A58" s="278">
        <v>0</v>
      </c>
      <c r="B58" s="279" t="s">
        <v>897</v>
      </c>
      <c r="C58" s="1192" t="s">
        <v>535</v>
      </c>
      <c r="D58" s="1192"/>
      <c r="E58" s="280">
        <v>138000</v>
      </c>
      <c r="F58" s="280">
        <v>66000</v>
      </c>
    </row>
    <row r="59" spans="1:6" ht="14.25" customHeight="1">
      <c r="A59" s="278">
        <v>0</v>
      </c>
      <c r="B59" s="279" t="s">
        <v>898</v>
      </c>
      <c r="C59" s="1192" t="s">
        <v>899</v>
      </c>
      <c r="D59" s="1192"/>
      <c r="E59" s="280">
        <v>144126177.55000001</v>
      </c>
      <c r="F59" s="280">
        <v>0</v>
      </c>
    </row>
    <row r="60" spans="1:6" ht="14.25" customHeight="1">
      <c r="A60" s="278">
        <v>0</v>
      </c>
      <c r="B60" s="279" t="s">
        <v>900</v>
      </c>
      <c r="C60" s="1192" t="s">
        <v>901</v>
      </c>
      <c r="D60" s="1192"/>
      <c r="E60" s="280">
        <v>29028.89</v>
      </c>
      <c r="F60" s="280">
        <v>0</v>
      </c>
    </row>
    <row r="61" spans="1:6" ht="14.25" customHeight="1">
      <c r="A61" s="278">
        <v>0</v>
      </c>
      <c r="B61" s="279" t="s">
        <v>902</v>
      </c>
      <c r="C61" s="1192" t="s">
        <v>903</v>
      </c>
      <c r="D61" s="1192"/>
      <c r="E61" s="280">
        <v>597543.69999999995</v>
      </c>
      <c r="F61" s="280">
        <v>270162.65000000002</v>
      </c>
    </row>
    <row r="62" spans="1:6" ht="14.25" customHeight="1">
      <c r="A62" s="278">
        <v>0</v>
      </c>
      <c r="B62" s="279" t="s">
        <v>904</v>
      </c>
      <c r="C62" s="1192" t="s">
        <v>905</v>
      </c>
      <c r="D62" s="1192"/>
      <c r="E62" s="280">
        <v>66686500</v>
      </c>
      <c r="F62" s="280">
        <v>0</v>
      </c>
    </row>
    <row r="63" spans="1:6" ht="15" customHeight="1">
      <c r="A63" s="278">
        <v>0</v>
      </c>
      <c r="B63" s="279" t="s">
        <v>906</v>
      </c>
      <c r="C63" s="1192" t="s">
        <v>907</v>
      </c>
      <c r="D63" s="1192"/>
      <c r="E63" s="280">
        <v>1200.03</v>
      </c>
      <c r="F63" s="280">
        <v>3014.38</v>
      </c>
    </row>
    <row r="64" spans="1:6" ht="14.25" customHeight="1">
      <c r="A64" s="278">
        <v>0</v>
      </c>
      <c r="B64" s="279" t="s">
        <v>908</v>
      </c>
      <c r="C64" s="1192" t="s">
        <v>909</v>
      </c>
      <c r="D64" s="1192"/>
      <c r="E64" s="280">
        <v>10185201.51</v>
      </c>
      <c r="F64" s="280">
        <v>8629928.0600000005</v>
      </c>
    </row>
    <row r="65" spans="1:11" ht="14.25" customHeight="1">
      <c r="A65" s="278">
        <v>0</v>
      </c>
      <c r="B65" s="279" t="s">
        <v>910</v>
      </c>
      <c r="C65" s="1192" t="s">
        <v>911</v>
      </c>
      <c r="D65" s="1192"/>
      <c r="E65" s="280">
        <v>226560</v>
      </c>
      <c r="F65" s="280">
        <v>921060</v>
      </c>
    </row>
    <row r="66" spans="1:11" ht="14.25" customHeight="1">
      <c r="A66" s="278">
        <v>0</v>
      </c>
      <c r="B66" s="279" t="s">
        <v>912</v>
      </c>
      <c r="C66" s="1192" t="s">
        <v>913</v>
      </c>
      <c r="D66" s="1192"/>
      <c r="E66" s="280">
        <v>25679800.91</v>
      </c>
      <c r="F66" s="280">
        <v>62285696.170000002</v>
      </c>
    </row>
    <row r="67" spans="1:11" ht="14.25" customHeight="1">
      <c r="A67" s="278">
        <v>0</v>
      </c>
      <c r="B67" s="279" t="s">
        <v>914</v>
      </c>
      <c r="C67" s="1192" t="s">
        <v>915</v>
      </c>
      <c r="D67" s="1192"/>
      <c r="E67" s="280">
        <v>35567.96</v>
      </c>
      <c r="F67" s="280">
        <v>115765.81</v>
      </c>
      <c r="J67" s="282">
        <f t="shared" ref="J67:J77" si="0">+H67-I67</f>
        <v>0</v>
      </c>
    </row>
    <row r="68" spans="1:11" ht="15" customHeight="1">
      <c r="A68" s="278">
        <v>0</v>
      </c>
      <c r="B68" s="279" t="s">
        <v>916</v>
      </c>
      <c r="C68" s="1192" t="s">
        <v>917</v>
      </c>
      <c r="D68" s="1192"/>
      <c r="E68" s="280">
        <v>110718939.8</v>
      </c>
      <c r="F68" s="280">
        <v>292632444.07999998</v>
      </c>
      <c r="J68" s="282">
        <f t="shared" si="0"/>
        <v>0</v>
      </c>
    </row>
    <row r="69" spans="1:11" ht="14.25" customHeight="1">
      <c r="A69" s="278">
        <v>0</v>
      </c>
      <c r="B69" s="279" t="s">
        <v>918</v>
      </c>
      <c r="C69" s="1192" t="s">
        <v>919</v>
      </c>
      <c r="D69" s="1192"/>
      <c r="E69" s="280">
        <v>2193800</v>
      </c>
      <c r="F69" s="280">
        <v>0</v>
      </c>
      <c r="J69" s="282">
        <f t="shared" si="0"/>
        <v>0</v>
      </c>
    </row>
    <row r="70" spans="1:11" ht="14.25" customHeight="1">
      <c r="A70" s="278">
        <v>0</v>
      </c>
      <c r="B70" s="279" t="s">
        <v>920</v>
      </c>
      <c r="C70" s="1192" t="s">
        <v>921</v>
      </c>
      <c r="D70" s="1192"/>
      <c r="E70" s="280">
        <v>288000</v>
      </c>
      <c r="F70" s="280">
        <v>1942761.92</v>
      </c>
      <c r="J70" s="282">
        <f t="shared" si="0"/>
        <v>0</v>
      </c>
    </row>
    <row r="71" spans="1:11" ht="14.25" customHeight="1">
      <c r="A71" s="278">
        <v>0</v>
      </c>
      <c r="B71" s="279" t="s">
        <v>922</v>
      </c>
      <c r="C71" s="1192" t="s">
        <v>923</v>
      </c>
      <c r="D71" s="1192"/>
      <c r="E71" s="280">
        <v>4832236.6500000004</v>
      </c>
      <c r="F71" s="280">
        <v>2219433</v>
      </c>
      <c r="J71" s="282">
        <f t="shared" si="0"/>
        <v>0</v>
      </c>
    </row>
    <row r="72" spans="1:11" ht="14.25" customHeight="1">
      <c r="A72" s="278">
        <v>0</v>
      </c>
      <c r="B72" s="279" t="s">
        <v>924</v>
      </c>
      <c r="C72" s="1192" t="s">
        <v>925</v>
      </c>
      <c r="D72" s="1192"/>
      <c r="E72" s="280">
        <v>5280167.4800000004</v>
      </c>
      <c r="F72" s="280">
        <v>3583496.38</v>
      </c>
      <c r="J72" s="282">
        <f t="shared" si="0"/>
        <v>0</v>
      </c>
    </row>
    <row r="73" spans="1:11" ht="15" customHeight="1">
      <c r="A73" s="278">
        <v>0</v>
      </c>
      <c r="B73" s="279" t="s">
        <v>926</v>
      </c>
      <c r="C73" s="1192" t="s">
        <v>927</v>
      </c>
      <c r="D73" s="1192"/>
      <c r="E73" s="280">
        <v>255886</v>
      </c>
      <c r="F73" s="280">
        <v>342591</v>
      </c>
      <c r="J73" s="282">
        <f t="shared" si="0"/>
        <v>0</v>
      </c>
    </row>
    <row r="74" spans="1:11" ht="14.25" customHeight="1">
      <c r="A74" s="278">
        <v>0</v>
      </c>
      <c r="B74" s="279" t="s">
        <v>928</v>
      </c>
      <c r="C74" s="1192" t="s">
        <v>929</v>
      </c>
      <c r="D74" s="1192"/>
      <c r="E74" s="280">
        <v>4292630.1399999997</v>
      </c>
      <c r="F74" s="280">
        <v>12534915.449999999</v>
      </c>
      <c r="J74" s="282">
        <f t="shared" si="0"/>
        <v>0</v>
      </c>
    </row>
    <row r="75" spans="1:11" ht="14.25" customHeight="1">
      <c r="A75" s="278">
        <v>0</v>
      </c>
      <c r="B75" s="279" t="s">
        <v>930</v>
      </c>
      <c r="C75" s="1192" t="s">
        <v>931</v>
      </c>
      <c r="D75" s="1192"/>
      <c r="E75" s="280">
        <v>5092709.1399999997</v>
      </c>
      <c r="F75" s="280">
        <v>5955042.7000000002</v>
      </c>
      <c r="H75" s="282">
        <f>+E62</f>
        <v>66686500</v>
      </c>
      <c r="J75" s="282">
        <f t="shared" si="0"/>
        <v>66686500</v>
      </c>
      <c r="K75" s="250" t="s">
        <v>946</v>
      </c>
    </row>
    <row r="76" spans="1:11" ht="14.25" customHeight="1">
      <c r="A76" s="278">
        <v>0</v>
      </c>
      <c r="B76" s="279" t="s">
        <v>932</v>
      </c>
      <c r="C76" s="1192" t="s">
        <v>933</v>
      </c>
      <c r="D76" s="1192"/>
      <c r="E76" s="280">
        <v>2477919.6800000002</v>
      </c>
      <c r="F76" s="280">
        <v>5083702.28</v>
      </c>
      <c r="H76" s="282">
        <f>+E81-H77-H78-H75</f>
        <v>10535323339.869993</v>
      </c>
      <c r="I76" s="282">
        <f>+F81-I77-I78-I75</f>
        <v>9936259408.3100052</v>
      </c>
      <c r="J76" s="282">
        <f t="shared" si="0"/>
        <v>599063931.55998802</v>
      </c>
    </row>
    <row r="77" spans="1:11" ht="14.25" customHeight="1">
      <c r="A77" s="278">
        <v>0</v>
      </c>
      <c r="B77" s="279" t="s">
        <v>934</v>
      </c>
      <c r="C77" s="1192" t="s">
        <v>935</v>
      </c>
      <c r="D77" s="1192"/>
      <c r="E77" s="280">
        <v>2833634.84</v>
      </c>
      <c r="F77" s="280">
        <v>25931780.780000001</v>
      </c>
      <c r="H77" s="282">
        <f>+E56+E55+E54+E53+E52+E51+E50+E46+E45+E44+E43+E41+E40+E39+E38+E37+E36+E31+E28+E27+E26+E24</f>
        <v>171175123.81999999</v>
      </c>
      <c r="I77" s="282">
        <f>+F56+F55+F54+F53+F52+F51+F50+F46+F45+F44+F43+F41+F40+F39+F38+F37+F36+F31+F28+F27+F26+F24</f>
        <v>474129715.62999994</v>
      </c>
      <c r="J77" s="282">
        <f t="shared" si="0"/>
        <v>-302954591.80999994</v>
      </c>
      <c r="K77" s="250" t="s">
        <v>945</v>
      </c>
    </row>
    <row r="78" spans="1:11" ht="15" customHeight="1">
      <c r="A78" s="278">
        <v>0</v>
      </c>
      <c r="B78" s="279" t="s">
        <v>936</v>
      </c>
      <c r="C78" s="1192" t="s">
        <v>937</v>
      </c>
      <c r="D78" s="1192"/>
      <c r="E78" s="280">
        <v>10403374.199999999</v>
      </c>
      <c r="F78" s="280">
        <v>313962.33</v>
      </c>
      <c r="H78" s="282">
        <f>SUM(E63:E78)</f>
        <v>184797628.33999997</v>
      </c>
      <c r="I78" s="282">
        <f>SUM(F63:F78)</f>
        <v>422495594.33999997</v>
      </c>
      <c r="J78" s="282">
        <f>+H78-I78</f>
        <v>-237697966</v>
      </c>
      <c r="K78" s="250" t="s">
        <v>944</v>
      </c>
    </row>
    <row r="79" spans="1:11" ht="18" customHeight="1">
      <c r="E79" s="282">
        <f>SUM(E12:E78)</f>
        <v>21701564999.859993</v>
      </c>
      <c r="F79" s="282">
        <f>SUM(F12:F78)</f>
        <v>21701564999.860004</v>
      </c>
    </row>
    <row r="80" spans="1:11" ht="18" customHeight="1">
      <c r="E80" s="282">
        <f>+E12</f>
        <v>10743582407.83</v>
      </c>
      <c r="F80" s="282">
        <f>+F12</f>
        <v>10868680281.58</v>
      </c>
    </row>
    <row r="81" spans="1:8" ht="18" customHeight="1">
      <c r="E81" s="282">
        <f>+E79-E80</f>
        <v>10957982592.029993</v>
      </c>
      <c r="F81" s="282">
        <f>+F79-F80</f>
        <v>10832884718.280005</v>
      </c>
      <c r="H81" s="282">
        <f>+F81-E81</f>
        <v>-125097873.74998856</v>
      </c>
    </row>
    <row r="82" spans="1:8" ht="18" customHeight="1">
      <c r="E82" s="282"/>
      <c r="F82" s="282"/>
    </row>
    <row r="83" spans="1:8" ht="14.25" customHeight="1">
      <c r="A83" s="1198" t="s">
        <v>938</v>
      </c>
      <c r="B83" s="1198"/>
      <c r="C83" s="1198"/>
      <c r="D83" s="1199" t="s">
        <v>939</v>
      </c>
      <c r="E83" s="1199"/>
      <c r="F83" s="1199"/>
    </row>
    <row r="84" spans="1:8" ht="3.75" customHeight="1"/>
    <row r="85" spans="1:8" ht="14.25" customHeight="1">
      <c r="A85" s="1198" t="s">
        <v>940</v>
      </c>
      <c r="B85" s="1198"/>
      <c r="C85" s="1198"/>
      <c r="D85" s="1199" t="s">
        <v>939</v>
      </c>
      <c r="E85" s="1199"/>
      <c r="F85" s="1199"/>
    </row>
    <row r="86" spans="1:8" ht="31.5" customHeight="1"/>
    <row r="87" spans="1:8" ht="10.5" customHeight="1">
      <c r="A87" s="1200" t="s">
        <v>941</v>
      </c>
      <c r="B87" s="969">
        <v>42033.579270833303</v>
      </c>
      <c r="C87" s="969"/>
      <c r="D87" s="969"/>
      <c r="E87" s="1200" t="s">
        <v>942</v>
      </c>
      <c r="F87" s="281" t="s">
        <v>943</v>
      </c>
    </row>
    <row r="88" spans="1:8" ht="2.25" customHeight="1">
      <c r="A88" s="1200"/>
      <c r="B88" s="969"/>
      <c r="C88" s="969"/>
      <c r="D88" s="969"/>
      <c r="E88" s="1200"/>
    </row>
  </sheetData>
  <mergeCells count="83">
    <mergeCell ref="A85:C85"/>
    <mergeCell ref="D85:F85"/>
    <mergeCell ref="A87:A88"/>
    <mergeCell ref="B87:D88"/>
    <mergeCell ref="E87:E88"/>
    <mergeCell ref="C75:D75"/>
    <mergeCell ref="C76:D76"/>
    <mergeCell ref="C77:D77"/>
    <mergeCell ref="C78:D78"/>
    <mergeCell ref="A83:C83"/>
    <mergeCell ref="D83:F83"/>
    <mergeCell ref="C74:D74"/>
    <mergeCell ref="C63:D63"/>
    <mergeCell ref="C64:D64"/>
    <mergeCell ref="C65:D65"/>
    <mergeCell ref="C66:D66"/>
    <mergeCell ref="C67:D67"/>
    <mergeCell ref="C68:D68"/>
    <mergeCell ref="C69:D69"/>
    <mergeCell ref="C70:D70"/>
    <mergeCell ref="C71:D71"/>
    <mergeCell ref="C72:D72"/>
    <mergeCell ref="C73:D73"/>
    <mergeCell ref="C62:D62"/>
    <mergeCell ref="C51:D51"/>
    <mergeCell ref="C52:D52"/>
    <mergeCell ref="C53:D53"/>
    <mergeCell ref="C54:D54"/>
    <mergeCell ref="C55:D55"/>
    <mergeCell ref="C56:D56"/>
    <mergeCell ref="C57:D57"/>
    <mergeCell ref="C58:D58"/>
    <mergeCell ref="C59:D59"/>
    <mergeCell ref="C60:D60"/>
    <mergeCell ref="C61:D61"/>
    <mergeCell ref="C50:D50"/>
    <mergeCell ref="C39:D39"/>
    <mergeCell ref="C40:D40"/>
    <mergeCell ref="C41:D41"/>
    <mergeCell ref="C42:D42"/>
    <mergeCell ref="C43:D43"/>
    <mergeCell ref="C44:D44"/>
    <mergeCell ref="C45:D45"/>
    <mergeCell ref="C46:D46"/>
    <mergeCell ref="C47:D47"/>
    <mergeCell ref="C48:D48"/>
    <mergeCell ref="C49:D49"/>
    <mergeCell ref="C38:D38"/>
    <mergeCell ref="C27:D27"/>
    <mergeCell ref="C28:D28"/>
    <mergeCell ref="C29:D29"/>
    <mergeCell ref="C30:D30"/>
    <mergeCell ref="C31:D31"/>
    <mergeCell ref="C32:D32"/>
    <mergeCell ref="C33:D33"/>
    <mergeCell ref="C34:D34"/>
    <mergeCell ref="C35:D35"/>
    <mergeCell ref="C36:D36"/>
    <mergeCell ref="C37:D37"/>
    <mergeCell ref="C26:D26"/>
    <mergeCell ref="C15:D15"/>
    <mergeCell ref="C16:D16"/>
    <mergeCell ref="C17:D17"/>
    <mergeCell ref="C18:D18"/>
    <mergeCell ref="C19:D19"/>
    <mergeCell ref="C20:D20"/>
    <mergeCell ref="C21:D21"/>
    <mergeCell ref="C22:D22"/>
    <mergeCell ref="C23:D23"/>
    <mergeCell ref="C24:D24"/>
    <mergeCell ref="C25:D25"/>
    <mergeCell ref="C14:D14"/>
    <mergeCell ref="A2:B2"/>
    <mergeCell ref="C2:F2"/>
    <mergeCell ref="E4:F4"/>
    <mergeCell ref="A6:F6"/>
    <mergeCell ref="A8:D8"/>
    <mergeCell ref="E8:F8"/>
    <mergeCell ref="B10:D10"/>
    <mergeCell ref="E10:F10"/>
    <mergeCell ref="C11:D11"/>
    <mergeCell ref="C12:D12"/>
    <mergeCell ref="C13:D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3:A21"/>
  <sheetViews>
    <sheetView workbookViewId="0">
      <selection activeCell="A11" sqref="A11"/>
    </sheetView>
  </sheetViews>
  <sheetFormatPr defaultColWidth="9.109375" defaultRowHeight="13.5" customHeight="1"/>
  <cols>
    <col min="1" max="1" width="98.33203125" style="4" customWidth="1"/>
    <col min="2" max="16384" width="9.109375" style="4"/>
  </cols>
  <sheetData>
    <row r="3" spans="1:1" ht="13.5" customHeight="1">
      <c r="A3" s="3" t="s">
        <v>989</v>
      </c>
    </row>
    <row r="4" spans="1:1" ht="13.5" customHeight="1">
      <c r="A4" s="3" t="s">
        <v>1442</v>
      </c>
    </row>
    <row r="5" spans="1:1" ht="13.5" customHeight="1">
      <c r="A5" s="3" t="s">
        <v>162</v>
      </c>
    </row>
    <row r="7" spans="1:1" ht="13.5" customHeight="1">
      <c r="A7" s="2" t="s">
        <v>1447</v>
      </c>
    </row>
    <row r="10" spans="1:1" ht="52.5" customHeight="1">
      <c r="A10" s="5" t="s">
        <v>1448</v>
      </c>
    </row>
    <row r="11" spans="1:1" ht="33.75" customHeight="1">
      <c r="A11" s="6"/>
    </row>
    <row r="12" spans="1:1" ht="52.5" customHeight="1">
      <c r="A12" s="7" t="s">
        <v>163</v>
      </c>
    </row>
    <row r="13" spans="1:1" ht="21" customHeight="1">
      <c r="A13" s="7" t="s">
        <v>164</v>
      </c>
    </row>
    <row r="14" spans="1:1" ht="38.25" customHeight="1">
      <c r="A14" s="7" t="s">
        <v>165</v>
      </c>
    </row>
    <row r="15" spans="1:1" ht="43.5" customHeight="1">
      <c r="A15" s="7" t="s">
        <v>166</v>
      </c>
    </row>
    <row r="16" spans="1:1" ht="42" customHeight="1">
      <c r="A16" s="7" t="s">
        <v>167</v>
      </c>
    </row>
    <row r="17" spans="1:1" ht="45.75" customHeight="1">
      <c r="A17" s="7" t="s">
        <v>168</v>
      </c>
    </row>
    <row r="19" spans="1:1" ht="13.5" customHeight="1">
      <c r="A19" s="6" t="s">
        <v>1444</v>
      </c>
    </row>
    <row r="20" spans="1:1" ht="13.5" customHeight="1">
      <c r="A20" s="6"/>
    </row>
    <row r="21" spans="1:1" ht="13.5" customHeight="1">
      <c r="A21" s="6" t="s">
        <v>1443</v>
      </c>
    </row>
  </sheetData>
  <phoneticPr fontId="9"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96"/>
  <sheetViews>
    <sheetView topLeftCell="A58" workbookViewId="0">
      <selection activeCell="G43" activeCellId="1" sqref="B5:C5 G43"/>
    </sheetView>
  </sheetViews>
  <sheetFormatPr defaultColWidth="9.109375" defaultRowHeight="11.4"/>
  <cols>
    <col min="1" max="1" width="8.33203125" style="582" customWidth="1"/>
    <col min="2" max="2" width="20.5546875" style="582" customWidth="1"/>
    <col min="3" max="3" width="19.109375" style="582" customWidth="1"/>
    <col min="4" max="4" width="35.6640625" style="582" customWidth="1"/>
    <col min="5" max="5" width="17.88671875" style="582" customWidth="1"/>
    <col min="6" max="6" width="17.44140625" style="582" customWidth="1"/>
    <col min="7" max="8" width="9.109375" style="582"/>
    <col min="9" max="10" width="15.44140625" style="587" customWidth="1"/>
    <col min="11" max="11" width="14.5546875" style="587" bestFit="1" customWidth="1"/>
    <col min="12" max="12" width="14.5546875" style="582" bestFit="1" customWidth="1"/>
    <col min="13" max="13" width="9.109375" style="582"/>
    <col min="14" max="14" width="11.5546875" style="582" bestFit="1" customWidth="1"/>
    <col min="15" max="16384" width="9.109375" style="582"/>
  </cols>
  <sheetData>
    <row r="1" spans="1:6" ht="7.5" customHeight="1"/>
    <row r="2" spans="1:6" ht="11.25" customHeight="1">
      <c r="A2" s="1201" t="s">
        <v>794</v>
      </c>
      <c r="B2" s="1201"/>
      <c r="C2" s="949" t="s">
        <v>795</v>
      </c>
      <c r="D2" s="949"/>
      <c r="E2" s="949"/>
      <c r="F2" s="949"/>
    </row>
    <row r="3" spans="1:6" ht="6" customHeight="1"/>
    <row r="4" spans="1:6" ht="23.25" customHeight="1">
      <c r="E4" s="1201" t="s">
        <v>796</v>
      </c>
      <c r="F4" s="1201"/>
    </row>
    <row r="5" spans="1:6" ht="6.75" customHeight="1"/>
    <row r="6" spans="1:6" ht="24" customHeight="1">
      <c r="A6" s="953" t="s">
        <v>794</v>
      </c>
      <c r="B6" s="953"/>
      <c r="C6" s="953"/>
      <c r="D6" s="953"/>
      <c r="E6" s="953"/>
      <c r="F6" s="953"/>
    </row>
    <row r="7" spans="1:6" ht="12" customHeight="1"/>
    <row r="8" spans="1:6" ht="14.25" customHeight="1">
      <c r="A8" s="955" t="s">
        <v>797</v>
      </c>
      <c r="B8" s="955"/>
      <c r="C8" s="955"/>
      <c r="D8" s="955"/>
      <c r="E8" s="954" t="s">
        <v>1116</v>
      </c>
      <c r="F8" s="954"/>
    </row>
    <row r="9" spans="1:6" ht="6.75" customHeight="1"/>
    <row r="10" spans="1:6" ht="14.25" customHeight="1">
      <c r="A10" s="393" t="s">
        <v>799</v>
      </c>
      <c r="B10" s="1202" t="s">
        <v>800</v>
      </c>
      <c r="C10" s="1202"/>
      <c r="D10" s="1202"/>
      <c r="E10" s="1202" t="s">
        <v>801</v>
      </c>
      <c r="F10" s="1202"/>
    </row>
    <row r="11" spans="1:6" ht="14.25" customHeight="1">
      <c r="A11" s="583"/>
      <c r="B11" s="394" t="s">
        <v>802</v>
      </c>
      <c r="C11" s="1203" t="s">
        <v>803</v>
      </c>
      <c r="D11" s="1203"/>
      <c r="E11" s="394" t="s">
        <v>804</v>
      </c>
      <c r="F11" s="437" t="s">
        <v>805</v>
      </c>
    </row>
    <row r="12" spans="1:6" ht="14.25" customHeight="1">
      <c r="A12" s="584">
        <v>0</v>
      </c>
      <c r="B12" s="585" t="s">
        <v>806</v>
      </c>
      <c r="C12" s="954" t="s">
        <v>807</v>
      </c>
      <c r="D12" s="954"/>
      <c r="E12" s="586"/>
      <c r="F12" s="586"/>
    </row>
    <row r="13" spans="1:6" ht="15" customHeight="1">
      <c r="A13" s="584">
        <v>0</v>
      </c>
      <c r="B13" s="585" t="s">
        <v>808</v>
      </c>
      <c r="C13" s="954" t="s">
        <v>809</v>
      </c>
      <c r="D13" s="954"/>
      <c r="E13" s="586"/>
      <c r="F13" s="586"/>
    </row>
    <row r="14" spans="1:6" ht="14.25" customHeight="1">
      <c r="A14" s="584">
        <v>0</v>
      </c>
      <c r="B14" s="585" t="s">
        <v>810</v>
      </c>
      <c r="C14" s="954" t="s">
        <v>811</v>
      </c>
      <c r="D14" s="954"/>
      <c r="E14" s="586"/>
      <c r="F14" s="586"/>
    </row>
    <row r="15" spans="1:6" ht="14.25" customHeight="1">
      <c r="A15" s="584">
        <v>0</v>
      </c>
      <c r="B15" s="585" t="s">
        <v>812</v>
      </c>
      <c r="C15" s="954" t="s">
        <v>813</v>
      </c>
      <c r="D15" s="954"/>
      <c r="E15" s="586"/>
      <c r="F15" s="586"/>
    </row>
    <row r="16" spans="1:6" ht="14.25" customHeight="1">
      <c r="A16" s="584">
        <v>0</v>
      </c>
      <c r="B16" s="585" t="s">
        <v>814</v>
      </c>
      <c r="C16" s="954" t="s">
        <v>815</v>
      </c>
      <c r="D16" s="954"/>
      <c r="E16" s="586"/>
      <c r="F16" s="586"/>
    </row>
    <row r="17" spans="1:6" ht="14.25" customHeight="1">
      <c r="A17" s="584">
        <v>0</v>
      </c>
      <c r="B17" s="585" t="s">
        <v>1117</v>
      </c>
      <c r="C17" s="954" t="s">
        <v>1118</v>
      </c>
      <c r="D17" s="954"/>
      <c r="E17" s="586">
        <v>0</v>
      </c>
      <c r="F17" s="586">
        <v>0.01</v>
      </c>
    </row>
    <row r="18" spans="1:6" ht="15" customHeight="1">
      <c r="A18" s="584">
        <v>0</v>
      </c>
      <c r="B18" s="585" t="s">
        <v>820</v>
      </c>
      <c r="C18" s="954" t="s">
        <v>821</v>
      </c>
      <c r="D18" s="954"/>
      <c r="E18" s="586">
        <v>54286193.060000002</v>
      </c>
      <c r="F18" s="586">
        <v>0</v>
      </c>
    </row>
    <row r="19" spans="1:6" ht="14.25" customHeight="1">
      <c r="A19" s="584">
        <v>0</v>
      </c>
      <c r="B19" s="585" t="s">
        <v>822</v>
      </c>
      <c r="C19" s="954" t="s">
        <v>823</v>
      </c>
      <c r="D19" s="954"/>
      <c r="E19" s="586">
        <v>0.13</v>
      </c>
      <c r="F19" s="586">
        <v>0</v>
      </c>
    </row>
    <row r="20" spans="1:6" ht="14.25" customHeight="1">
      <c r="A20" s="584">
        <v>0</v>
      </c>
      <c r="B20" s="585" t="s">
        <v>824</v>
      </c>
      <c r="C20" s="954" t="s">
        <v>825</v>
      </c>
      <c r="D20" s="954"/>
      <c r="E20" s="586">
        <v>37818540.159999996</v>
      </c>
      <c r="F20" s="586">
        <v>0</v>
      </c>
    </row>
    <row r="21" spans="1:6" ht="14.25" customHeight="1">
      <c r="A21" s="584">
        <v>0</v>
      </c>
      <c r="B21" s="585" t="s">
        <v>828</v>
      </c>
      <c r="C21" s="954" t="s">
        <v>829</v>
      </c>
      <c r="D21" s="954"/>
      <c r="E21" s="586">
        <v>545000</v>
      </c>
      <c r="F21" s="586">
        <v>169486941.02000001</v>
      </c>
    </row>
    <row r="22" spans="1:6" ht="14.25" customHeight="1">
      <c r="A22" s="584">
        <v>0</v>
      </c>
      <c r="B22" s="585" t="s">
        <v>1022</v>
      </c>
      <c r="C22" s="954" t="s">
        <v>30</v>
      </c>
      <c r="D22" s="954"/>
      <c r="E22" s="586">
        <v>0</v>
      </c>
      <c r="F22" s="586">
        <v>9988.65</v>
      </c>
    </row>
    <row r="23" spans="1:6" ht="15" customHeight="1">
      <c r="A23" s="584">
        <v>0</v>
      </c>
      <c r="B23" s="585" t="s">
        <v>1023</v>
      </c>
      <c r="C23" s="954" t="s">
        <v>1024</v>
      </c>
      <c r="D23" s="954"/>
      <c r="E23" s="586">
        <v>10668390.6</v>
      </c>
      <c r="F23" s="586">
        <v>7238740.8499999996</v>
      </c>
    </row>
    <row r="24" spans="1:6" ht="23.25" customHeight="1">
      <c r="A24" s="584">
        <v>0</v>
      </c>
      <c r="B24" s="585" t="s">
        <v>830</v>
      </c>
      <c r="C24" s="954" t="s">
        <v>831</v>
      </c>
      <c r="D24" s="954"/>
      <c r="E24" s="586">
        <v>980784.25</v>
      </c>
      <c r="F24" s="586">
        <v>48996.53</v>
      </c>
    </row>
    <row r="25" spans="1:6" ht="24" customHeight="1">
      <c r="A25" s="584">
        <v>0</v>
      </c>
      <c r="B25" s="585" t="s">
        <v>832</v>
      </c>
      <c r="C25" s="954" t="s">
        <v>833</v>
      </c>
      <c r="D25" s="954"/>
      <c r="E25" s="586">
        <v>3195782.95</v>
      </c>
      <c r="F25" s="586">
        <v>11688182.550000001</v>
      </c>
    </row>
    <row r="26" spans="1:6" ht="14.25" customHeight="1">
      <c r="A26" s="584">
        <v>0</v>
      </c>
      <c r="B26" s="585" t="s">
        <v>834</v>
      </c>
      <c r="C26" s="954" t="s">
        <v>835</v>
      </c>
      <c r="D26" s="954"/>
      <c r="E26" s="586">
        <v>3775374.29</v>
      </c>
      <c r="F26" s="586">
        <v>427202.09</v>
      </c>
    </row>
    <row r="27" spans="1:6" ht="14.25" customHeight="1">
      <c r="A27" s="584">
        <v>0</v>
      </c>
      <c r="B27" s="585" t="s">
        <v>836</v>
      </c>
      <c r="C27" s="954" t="s">
        <v>837</v>
      </c>
      <c r="D27" s="954"/>
      <c r="E27" s="586">
        <v>19072766.870000001</v>
      </c>
      <c r="F27" s="586">
        <v>36088936.270000003</v>
      </c>
    </row>
    <row r="28" spans="1:6" ht="15" customHeight="1">
      <c r="A28" s="584">
        <v>0</v>
      </c>
      <c r="B28" s="585" t="s">
        <v>838</v>
      </c>
      <c r="C28" s="954" t="s">
        <v>839</v>
      </c>
      <c r="D28" s="954"/>
      <c r="E28" s="586">
        <v>65432368.619999997</v>
      </c>
      <c r="F28" s="586">
        <v>94910396.489999995</v>
      </c>
    </row>
    <row r="29" spans="1:6" ht="14.25" customHeight="1">
      <c r="A29" s="584">
        <v>0</v>
      </c>
      <c r="B29" s="585" t="s">
        <v>1119</v>
      </c>
      <c r="C29" s="954" t="s">
        <v>1120</v>
      </c>
      <c r="D29" s="954"/>
      <c r="E29" s="586">
        <v>173705.78</v>
      </c>
      <c r="F29" s="586">
        <v>1148197.45</v>
      </c>
    </row>
    <row r="30" spans="1:6" ht="14.25" customHeight="1">
      <c r="A30" s="584">
        <v>0</v>
      </c>
      <c r="B30" s="585" t="s">
        <v>840</v>
      </c>
      <c r="C30" s="954" t="s">
        <v>841</v>
      </c>
      <c r="D30" s="954"/>
      <c r="E30" s="586">
        <v>0.1</v>
      </c>
      <c r="F30" s="586">
        <v>0</v>
      </c>
    </row>
    <row r="31" spans="1:6" ht="14.25" customHeight="1">
      <c r="A31" s="584">
        <v>0</v>
      </c>
      <c r="B31" s="585" t="s">
        <v>1121</v>
      </c>
      <c r="C31" s="954" t="s">
        <v>1122</v>
      </c>
      <c r="D31" s="954"/>
      <c r="E31" s="586">
        <v>2931265.67</v>
      </c>
      <c r="F31" s="586">
        <v>4255506.32</v>
      </c>
    </row>
    <row r="32" spans="1:6" ht="14.25" customHeight="1">
      <c r="A32" s="584">
        <v>0</v>
      </c>
      <c r="B32" s="585" t="s">
        <v>842</v>
      </c>
      <c r="C32" s="954" t="s">
        <v>843</v>
      </c>
      <c r="D32" s="954"/>
      <c r="E32" s="586">
        <v>3514996.52</v>
      </c>
      <c r="F32" s="586">
        <v>5761049.1500000004</v>
      </c>
    </row>
    <row r="33" spans="1:6" ht="15" customHeight="1">
      <c r="A33" s="584">
        <v>0</v>
      </c>
      <c r="B33" s="585" t="s">
        <v>844</v>
      </c>
      <c r="C33" s="954" t="s">
        <v>845</v>
      </c>
      <c r="D33" s="954"/>
      <c r="E33" s="586">
        <v>2864784.6</v>
      </c>
      <c r="F33" s="586">
        <v>0</v>
      </c>
    </row>
    <row r="34" spans="1:6" ht="14.25" customHeight="1">
      <c r="A34" s="584">
        <v>0</v>
      </c>
      <c r="B34" s="585" t="s">
        <v>1123</v>
      </c>
      <c r="C34" s="954" t="s">
        <v>1124</v>
      </c>
      <c r="D34" s="954"/>
      <c r="E34" s="586">
        <v>971122418.16999996</v>
      </c>
      <c r="F34" s="586">
        <v>198413624.47</v>
      </c>
    </row>
    <row r="35" spans="1:6" ht="14.25" customHeight="1">
      <c r="A35" s="584">
        <v>0</v>
      </c>
      <c r="B35" s="585" t="s">
        <v>848</v>
      </c>
      <c r="C35" s="954" t="s">
        <v>849</v>
      </c>
      <c r="D35" s="954"/>
      <c r="E35" s="586">
        <v>2000800742.0599999</v>
      </c>
      <c r="F35" s="586">
        <v>1964791222.49</v>
      </c>
    </row>
    <row r="36" spans="1:6" ht="14.25" customHeight="1">
      <c r="A36" s="584">
        <v>0</v>
      </c>
      <c r="B36" s="585" t="s">
        <v>1125</v>
      </c>
      <c r="C36" s="954" t="s">
        <v>616</v>
      </c>
      <c r="D36" s="954"/>
      <c r="E36" s="586">
        <v>0</v>
      </c>
      <c r="F36" s="586">
        <v>12797.5</v>
      </c>
    </row>
    <row r="37" spans="1:6" ht="14.25" customHeight="1">
      <c r="A37" s="584">
        <v>0</v>
      </c>
      <c r="B37" s="585" t="s">
        <v>853</v>
      </c>
      <c r="C37" s="954" t="s">
        <v>854</v>
      </c>
      <c r="D37" s="954"/>
      <c r="E37" s="586">
        <v>0</v>
      </c>
      <c r="F37" s="586">
        <v>5451067.1399999997</v>
      </c>
    </row>
    <row r="38" spans="1:6" ht="15" customHeight="1">
      <c r="A38" s="584">
        <v>0</v>
      </c>
      <c r="B38" s="585" t="s">
        <v>855</v>
      </c>
      <c r="C38" s="954" t="s">
        <v>856</v>
      </c>
      <c r="D38" s="954"/>
      <c r="E38" s="586">
        <v>0</v>
      </c>
      <c r="F38" s="586">
        <v>139.65</v>
      </c>
    </row>
    <row r="39" spans="1:6" ht="14.25" customHeight="1">
      <c r="A39" s="584">
        <v>0</v>
      </c>
      <c r="B39" s="585" t="s">
        <v>857</v>
      </c>
      <c r="C39" s="954" t="s">
        <v>858</v>
      </c>
      <c r="D39" s="954"/>
      <c r="E39" s="586">
        <v>0</v>
      </c>
      <c r="F39" s="586">
        <v>182203.23</v>
      </c>
    </row>
    <row r="40" spans="1:6" ht="23.25" customHeight="1">
      <c r="A40" s="584">
        <v>0</v>
      </c>
      <c r="B40" s="585" t="s">
        <v>859</v>
      </c>
      <c r="C40" s="954" t="s">
        <v>860</v>
      </c>
      <c r="D40" s="954"/>
      <c r="E40" s="586">
        <v>0</v>
      </c>
      <c r="F40" s="586">
        <v>33359772.739999998</v>
      </c>
    </row>
    <row r="41" spans="1:6" ht="24" customHeight="1">
      <c r="A41" s="584">
        <v>0</v>
      </c>
      <c r="B41" s="585" t="s">
        <v>1126</v>
      </c>
      <c r="C41" s="954" t="s">
        <v>1127</v>
      </c>
      <c r="D41" s="954"/>
      <c r="E41" s="586">
        <v>0.98</v>
      </c>
      <c r="F41" s="586">
        <v>0</v>
      </c>
    </row>
    <row r="42" spans="1:6" ht="14.25" customHeight="1">
      <c r="A42" s="584">
        <v>0</v>
      </c>
      <c r="B42" s="585" t="s">
        <v>1025</v>
      </c>
      <c r="C42" s="954" t="s">
        <v>1026</v>
      </c>
      <c r="D42" s="954"/>
      <c r="E42" s="586">
        <v>0</v>
      </c>
      <c r="F42" s="586">
        <v>21355.56</v>
      </c>
    </row>
    <row r="43" spans="1:6" ht="15" customHeight="1">
      <c r="A43" s="584">
        <v>0</v>
      </c>
      <c r="B43" s="585" t="s">
        <v>861</v>
      </c>
      <c r="C43" s="954" t="s">
        <v>862</v>
      </c>
      <c r="D43" s="954"/>
      <c r="E43" s="586">
        <v>0</v>
      </c>
      <c r="F43" s="586">
        <v>4258729.51</v>
      </c>
    </row>
    <row r="44" spans="1:6" ht="14.25" customHeight="1">
      <c r="A44" s="584">
        <v>0</v>
      </c>
      <c r="B44" s="585" t="s">
        <v>863</v>
      </c>
      <c r="C44" s="954" t="s">
        <v>864</v>
      </c>
      <c r="D44" s="954"/>
      <c r="E44" s="586">
        <v>0</v>
      </c>
      <c r="F44" s="586">
        <v>67172126.540000007</v>
      </c>
    </row>
    <row r="45" spans="1:6" ht="23.25" customHeight="1">
      <c r="A45" s="584">
        <v>0</v>
      </c>
      <c r="B45" s="585" t="s">
        <v>1128</v>
      </c>
      <c r="C45" s="954" t="s">
        <v>1129</v>
      </c>
      <c r="D45" s="954"/>
      <c r="E45" s="586">
        <v>7486.14</v>
      </c>
      <c r="F45" s="586">
        <v>292239.26</v>
      </c>
    </row>
    <row r="46" spans="1:6" ht="15" customHeight="1">
      <c r="A46" s="584">
        <v>0</v>
      </c>
      <c r="B46" s="585" t="s">
        <v>1130</v>
      </c>
      <c r="C46" s="954" t="s">
        <v>1131</v>
      </c>
      <c r="D46" s="954"/>
      <c r="E46" s="586">
        <v>43489163.240000002</v>
      </c>
      <c r="F46" s="586">
        <v>106122649.53</v>
      </c>
    </row>
    <row r="47" spans="1:6" ht="14.25" customHeight="1">
      <c r="A47" s="584">
        <v>0</v>
      </c>
      <c r="B47" s="585" t="s">
        <v>1027</v>
      </c>
      <c r="C47" s="954" t="s">
        <v>1028</v>
      </c>
      <c r="D47" s="954"/>
      <c r="E47" s="586">
        <v>5061980</v>
      </c>
      <c r="F47" s="586">
        <v>217980</v>
      </c>
    </row>
    <row r="48" spans="1:6" ht="14.25" customHeight="1">
      <c r="A48" s="584">
        <v>0</v>
      </c>
      <c r="B48" s="585" t="s">
        <v>867</v>
      </c>
      <c r="C48" s="954" t="s">
        <v>868</v>
      </c>
      <c r="D48" s="954"/>
      <c r="E48" s="586">
        <v>763064.11</v>
      </c>
      <c r="F48" s="586">
        <v>0</v>
      </c>
    </row>
    <row r="49" spans="1:6" ht="14.25" customHeight="1">
      <c r="A49" s="584">
        <v>0</v>
      </c>
      <c r="B49" s="585" t="s">
        <v>869</v>
      </c>
      <c r="C49" s="954" t="s">
        <v>870</v>
      </c>
      <c r="D49" s="954"/>
      <c r="E49" s="586">
        <v>4988907.7300000004</v>
      </c>
      <c r="F49" s="586">
        <v>64678.55</v>
      </c>
    </row>
    <row r="50" spans="1:6" ht="14.25" customHeight="1">
      <c r="A50" s="584">
        <v>0</v>
      </c>
      <c r="B50" s="585" t="s">
        <v>871</v>
      </c>
      <c r="C50" s="954" t="s">
        <v>872</v>
      </c>
      <c r="D50" s="954"/>
      <c r="E50" s="586">
        <v>8503767.1300000008</v>
      </c>
      <c r="F50" s="586">
        <v>2445419.63</v>
      </c>
    </row>
    <row r="51" spans="1:6" ht="15" customHeight="1">
      <c r="A51" s="584">
        <v>0</v>
      </c>
      <c r="B51" s="585" t="s">
        <v>873</v>
      </c>
      <c r="C51" s="954" t="s">
        <v>874</v>
      </c>
      <c r="D51" s="954"/>
      <c r="E51" s="586">
        <v>27444079.52</v>
      </c>
      <c r="F51" s="586">
        <v>0</v>
      </c>
    </row>
    <row r="52" spans="1:6" ht="14.25" customHeight="1">
      <c r="A52" s="584">
        <v>0</v>
      </c>
      <c r="B52" s="585" t="s">
        <v>875</v>
      </c>
      <c r="C52" s="954" t="s">
        <v>876</v>
      </c>
      <c r="D52" s="954"/>
      <c r="E52" s="586">
        <v>1065050</v>
      </c>
      <c r="F52" s="586">
        <v>152000</v>
      </c>
    </row>
    <row r="53" spans="1:6" ht="14.25" customHeight="1">
      <c r="A53" s="584">
        <v>0</v>
      </c>
      <c r="B53" s="585" t="s">
        <v>1132</v>
      </c>
      <c r="C53" s="954" t="s">
        <v>1133</v>
      </c>
      <c r="D53" s="954"/>
      <c r="E53" s="586">
        <v>35680439.079999998</v>
      </c>
      <c r="F53" s="586">
        <v>63020887.689999998</v>
      </c>
    </row>
    <row r="54" spans="1:6" ht="14.25" customHeight="1">
      <c r="A54" s="584">
        <v>0</v>
      </c>
      <c r="B54" s="585" t="s">
        <v>1134</v>
      </c>
      <c r="C54" s="954" t="s">
        <v>1135</v>
      </c>
      <c r="D54" s="954"/>
      <c r="E54" s="586">
        <v>239998.85</v>
      </c>
      <c r="F54" s="586">
        <v>0</v>
      </c>
    </row>
    <row r="55" spans="1:6" ht="14.25" customHeight="1">
      <c r="A55" s="584">
        <v>0</v>
      </c>
      <c r="B55" s="585" t="s">
        <v>877</v>
      </c>
      <c r="C55" s="954" t="s">
        <v>878</v>
      </c>
      <c r="D55" s="954"/>
      <c r="E55" s="586">
        <v>246576114.52000001</v>
      </c>
      <c r="F55" s="586">
        <v>628213955.36000001</v>
      </c>
    </row>
    <row r="56" spans="1:6" ht="15" customHeight="1">
      <c r="A56" s="584">
        <v>0</v>
      </c>
      <c r="B56" s="585" t="s">
        <v>879</v>
      </c>
      <c r="C56" s="954" t="s">
        <v>880</v>
      </c>
      <c r="D56" s="954"/>
      <c r="E56" s="586">
        <v>2968020516.3800001</v>
      </c>
      <c r="F56" s="586">
        <v>2695481138.4400001</v>
      </c>
    </row>
    <row r="57" spans="1:6" ht="14.25" customHeight="1">
      <c r="A57" s="584">
        <v>0</v>
      </c>
      <c r="B57" s="585" t="s">
        <v>1136</v>
      </c>
      <c r="C57" s="954" t="s">
        <v>212</v>
      </c>
      <c r="D57" s="954"/>
      <c r="E57" s="586">
        <v>0</v>
      </c>
      <c r="F57" s="586">
        <v>219611.04</v>
      </c>
    </row>
    <row r="58" spans="1:6" ht="14.25" customHeight="1">
      <c r="A58" s="584">
        <v>0</v>
      </c>
      <c r="B58" s="585" t="s">
        <v>881</v>
      </c>
      <c r="C58" s="954" t="s">
        <v>882</v>
      </c>
      <c r="D58" s="954"/>
      <c r="E58" s="586">
        <v>60552.94</v>
      </c>
      <c r="F58" s="586">
        <v>0</v>
      </c>
    </row>
    <row r="59" spans="1:6" ht="14.25" customHeight="1">
      <c r="A59" s="584">
        <v>0</v>
      </c>
      <c r="B59" s="585" t="s">
        <v>883</v>
      </c>
      <c r="C59" s="954" t="s">
        <v>884</v>
      </c>
      <c r="D59" s="954"/>
      <c r="E59" s="586">
        <v>72738.880000000005</v>
      </c>
      <c r="F59" s="586">
        <v>105794.05</v>
      </c>
    </row>
    <row r="60" spans="1:6" ht="14.25" customHeight="1">
      <c r="A60" s="584">
        <v>0</v>
      </c>
      <c r="B60" s="585" t="s">
        <v>885</v>
      </c>
      <c r="C60" s="954" t="s">
        <v>886</v>
      </c>
      <c r="D60" s="954"/>
      <c r="E60" s="586">
        <v>29699.279999999999</v>
      </c>
      <c r="F60" s="586">
        <v>0</v>
      </c>
    </row>
    <row r="61" spans="1:6" ht="15" customHeight="1">
      <c r="A61" s="584">
        <v>0</v>
      </c>
      <c r="B61" s="585" t="s">
        <v>887</v>
      </c>
      <c r="C61" s="954" t="s">
        <v>888</v>
      </c>
      <c r="D61" s="954"/>
      <c r="E61" s="586">
        <v>8496.75</v>
      </c>
      <c r="F61" s="586">
        <v>0</v>
      </c>
    </row>
    <row r="62" spans="1:6" ht="14.25" customHeight="1">
      <c r="A62" s="584">
        <v>0</v>
      </c>
      <c r="B62" s="585" t="s">
        <v>889</v>
      </c>
      <c r="C62" s="954" t="s">
        <v>890</v>
      </c>
      <c r="D62" s="954"/>
      <c r="E62" s="586">
        <v>209019.01</v>
      </c>
      <c r="F62" s="586">
        <v>0</v>
      </c>
    </row>
    <row r="63" spans="1:6" ht="14.25" customHeight="1">
      <c r="A63" s="584">
        <v>0</v>
      </c>
      <c r="B63" s="585" t="s">
        <v>1137</v>
      </c>
      <c r="C63" s="954" t="s">
        <v>1138</v>
      </c>
      <c r="D63" s="954"/>
      <c r="E63" s="586">
        <v>0</v>
      </c>
      <c r="F63" s="586">
        <v>1642666.67</v>
      </c>
    </row>
    <row r="64" spans="1:6" ht="14.25" customHeight="1">
      <c r="A64" s="584">
        <v>0</v>
      </c>
      <c r="B64" s="585" t="s">
        <v>891</v>
      </c>
      <c r="C64" s="954" t="s">
        <v>892</v>
      </c>
      <c r="D64" s="954"/>
      <c r="E64" s="586">
        <v>527725.6</v>
      </c>
      <c r="F64" s="586">
        <v>0</v>
      </c>
    </row>
    <row r="65" spans="1:12" ht="14.25" customHeight="1">
      <c r="A65" s="584">
        <v>0</v>
      </c>
      <c r="B65" s="585" t="s">
        <v>893</v>
      </c>
      <c r="C65" s="954" t="s">
        <v>894</v>
      </c>
      <c r="D65" s="954"/>
      <c r="E65" s="586">
        <v>115615653.2</v>
      </c>
      <c r="F65" s="586">
        <v>0</v>
      </c>
    </row>
    <row r="66" spans="1:12" ht="15" customHeight="1">
      <c r="A66" s="584">
        <v>0</v>
      </c>
      <c r="B66" s="585" t="s">
        <v>898</v>
      </c>
      <c r="C66" s="954" t="s">
        <v>899</v>
      </c>
      <c r="D66" s="954"/>
      <c r="E66" s="586">
        <v>232811.78</v>
      </c>
      <c r="F66" s="586">
        <v>4706.84</v>
      </c>
    </row>
    <row r="67" spans="1:12" ht="14.25" customHeight="1">
      <c r="A67" s="584">
        <v>0</v>
      </c>
      <c r="B67" s="585" t="s">
        <v>902</v>
      </c>
      <c r="C67" s="954" t="s">
        <v>903</v>
      </c>
      <c r="D67" s="954"/>
      <c r="E67" s="586">
        <v>2170093.83</v>
      </c>
      <c r="F67" s="586">
        <v>7816.25</v>
      </c>
    </row>
    <row r="68" spans="1:12" ht="14.25" customHeight="1">
      <c r="A68" s="584">
        <v>0</v>
      </c>
      <c r="B68" s="585" t="s">
        <v>1139</v>
      </c>
      <c r="C68" s="954" t="s">
        <v>1140</v>
      </c>
      <c r="D68" s="954"/>
      <c r="E68" s="586">
        <v>198885446.21000001</v>
      </c>
      <c r="F68" s="586">
        <v>3579217.93</v>
      </c>
    </row>
    <row r="69" spans="1:12" ht="14.25" customHeight="1">
      <c r="A69" s="584">
        <v>0</v>
      </c>
      <c r="B69" s="585" t="s">
        <v>1141</v>
      </c>
      <c r="C69" s="954" t="s">
        <v>1142</v>
      </c>
      <c r="D69" s="954"/>
      <c r="E69" s="586">
        <v>93953748.340000004</v>
      </c>
      <c r="F69" s="586">
        <v>42552117.700000003</v>
      </c>
    </row>
    <row r="70" spans="1:12" ht="14.25" customHeight="1">
      <c r="A70" s="584">
        <v>0</v>
      </c>
      <c r="B70" s="585" t="s">
        <v>1029</v>
      </c>
      <c r="C70" s="954" t="s">
        <v>1030</v>
      </c>
      <c r="D70" s="954"/>
      <c r="E70" s="586">
        <v>13789708.060000001</v>
      </c>
      <c r="F70" s="586">
        <v>9229060.7300000004</v>
      </c>
    </row>
    <row r="71" spans="1:12" ht="15" customHeight="1">
      <c r="A71" s="584">
        <v>0</v>
      </c>
      <c r="B71" s="585" t="s">
        <v>1031</v>
      </c>
      <c r="C71" s="954" t="s">
        <v>1032</v>
      </c>
      <c r="D71" s="954"/>
      <c r="E71" s="586">
        <v>20061397.91</v>
      </c>
      <c r="F71" s="586">
        <v>21297399.91</v>
      </c>
      <c r="I71" s="287"/>
      <c r="J71" s="287"/>
      <c r="K71" s="287"/>
      <c r="L71" s="286"/>
    </row>
    <row r="72" spans="1:12" ht="14.25" customHeight="1">
      <c r="A72" s="584">
        <v>0</v>
      </c>
      <c r="B72" s="585" t="s">
        <v>906</v>
      </c>
      <c r="C72" s="954" t="s">
        <v>907</v>
      </c>
      <c r="D72" s="954"/>
      <c r="E72" s="586">
        <v>36084281.18</v>
      </c>
      <c r="F72" s="586">
        <v>2597613.15</v>
      </c>
      <c r="I72" s="287"/>
      <c r="J72" s="287"/>
      <c r="K72" s="287"/>
      <c r="L72" s="286"/>
    </row>
    <row r="73" spans="1:12" ht="14.25" customHeight="1">
      <c r="A73" s="584">
        <v>0</v>
      </c>
      <c r="B73" s="585" t="s">
        <v>908</v>
      </c>
      <c r="C73" s="954" t="s">
        <v>909</v>
      </c>
      <c r="D73" s="954"/>
      <c r="E73" s="586">
        <v>11930068.98</v>
      </c>
      <c r="F73" s="586">
        <v>14404468.449999999</v>
      </c>
      <c r="I73" s="287"/>
      <c r="J73" s="287"/>
      <c r="K73" s="287">
        <f t="shared" ref="K73:K83" si="0">+I73-J73</f>
        <v>0</v>
      </c>
      <c r="L73" s="286"/>
    </row>
    <row r="74" spans="1:12" ht="14.25" customHeight="1">
      <c r="A74" s="584">
        <v>0</v>
      </c>
      <c r="B74" s="585" t="s">
        <v>912</v>
      </c>
      <c r="C74" s="954" t="s">
        <v>913</v>
      </c>
      <c r="D74" s="954"/>
      <c r="E74" s="586">
        <v>8326653.1200000001</v>
      </c>
      <c r="F74" s="586">
        <v>9085722.3100000005</v>
      </c>
      <c r="I74" s="287"/>
      <c r="J74" s="287"/>
      <c r="K74" s="287">
        <f t="shared" si="0"/>
        <v>0</v>
      </c>
      <c r="L74" s="286"/>
    </row>
    <row r="75" spans="1:12" ht="14.25" customHeight="1">
      <c r="A75" s="584">
        <v>0</v>
      </c>
      <c r="B75" s="585" t="s">
        <v>914</v>
      </c>
      <c r="C75" s="954" t="s">
        <v>915</v>
      </c>
      <c r="D75" s="954"/>
      <c r="E75" s="586">
        <v>33254602.129999999</v>
      </c>
      <c r="F75" s="586">
        <v>11334068.48</v>
      </c>
      <c r="I75" s="287"/>
      <c r="J75" s="287"/>
      <c r="K75" s="287">
        <f t="shared" si="0"/>
        <v>0</v>
      </c>
      <c r="L75" s="286"/>
    </row>
    <row r="76" spans="1:12" ht="15" customHeight="1">
      <c r="A76" s="584">
        <v>0</v>
      </c>
      <c r="B76" s="585" t="s">
        <v>916</v>
      </c>
      <c r="C76" s="954" t="s">
        <v>917</v>
      </c>
      <c r="D76" s="954"/>
      <c r="E76" s="586">
        <v>188943085.93000001</v>
      </c>
      <c r="F76" s="586">
        <v>233394082.72999999</v>
      </c>
      <c r="I76" s="287"/>
      <c r="J76" s="287"/>
      <c r="K76" s="287">
        <f t="shared" si="0"/>
        <v>0</v>
      </c>
      <c r="L76" s="286"/>
    </row>
    <row r="77" spans="1:12" ht="14.25" customHeight="1">
      <c r="A77" s="584">
        <v>0</v>
      </c>
      <c r="B77" s="585" t="s">
        <v>1143</v>
      </c>
      <c r="C77" s="954" t="s">
        <v>1144</v>
      </c>
      <c r="D77" s="954"/>
      <c r="E77" s="586">
        <v>1686618.2</v>
      </c>
      <c r="F77" s="586">
        <v>6250000</v>
      </c>
      <c r="I77" s="287"/>
      <c r="J77" s="287"/>
      <c r="K77" s="287">
        <f t="shared" si="0"/>
        <v>0</v>
      </c>
      <c r="L77" s="286"/>
    </row>
    <row r="78" spans="1:12" ht="14.25" customHeight="1">
      <c r="A78" s="584">
        <v>0</v>
      </c>
      <c r="B78" s="585" t="s">
        <v>1145</v>
      </c>
      <c r="C78" s="954" t="s">
        <v>1146</v>
      </c>
      <c r="D78" s="954"/>
      <c r="E78" s="586">
        <v>465800</v>
      </c>
      <c r="F78" s="586">
        <v>0</v>
      </c>
      <c r="I78" s="287"/>
      <c r="J78" s="287"/>
      <c r="K78" s="287">
        <f t="shared" si="0"/>
        <v>0</v>
      </c>
      <c r="L78" s="286"/>
    </row>
    <row r="79" spans="1:12" ht="14.25" customHeight="1">
      <c r="A79" s="584">
        <v>0</v>
      </c>
      <c r="B79" s="585" t="s">
        <v>1147</v>
      </c>
      <c r="C79" s="954" t="s">
        <v>1148</v>
      </c>
      <c r="D79" s="954"/>
      <c r="E79" s="586">
        <v>10932004.390000001</v>
      </c>
      <c r="F79" s="586">
        <v>0</v>
      </c>
      <c r="I79" s="287"/>
      <c r="J79" s="287"/>
      <c r="K79" s="287">
        <f t="shared" si="0"/>
        <v>0</v>
      </c>
      <c r="L79" s="286"/>
    </row>
    <row r="80" spans="1:12" ht="14.25" customHeight="1">
      <c r="A80" s="584">
        <v>0</v>
      </c>
      <c r="B80" s="585" t="s">
        <v>920</v>
      </c>
      <c r="C80" s="954" t="s">
        <v>921</v>
      </c>
      <c r="D80" s="954"/>
      <c r="E80" s="586">
        <v>827675</v>
      </c>
      <c r="F80" s="586">
        <v>50435438.329999998</v>
      </c>
      <c r="I80" s="287"/>
      <c r="J80" s="287"/>
      <c r="K80" s="287">
        <f t="shared" si="0"/>
        <v>0</v>
      </c>
      <c r="L80" s="286"/>
    </row>
    <row r="81" spans="1:14" ht="15" customHeight="1">
      <c r="A81" s="584">
        <v>0</v>
      </c>
      <c r="B81" s="585" t="s">
        <v>1033</v>
      </c>
      <c r="C81" s="954" t="s">
        <v>1034</v>
      </c>
      <c r="D81" s="954"/>
      <c r="E81" s="586">
        <v>4197487.54</v>
      </c>
      <c r="F81" s="586">
        <v>0</v>
      </c>
      <c r="I81" s="287"/>
      <c r="J81" s="287"/>
      <c r="K81" s="287">
        <f t="shared" si="0"/>
        <v>0</v>
      </c>
      <c r="L81" s="287" t="s">
        <v>231</v>
      </c>
      <c r="M81" s="587"/>
      <c r="N81" s="587"/>
    </row>
    <row r="82" spans="1:14" ht="14.25" customHeight="1">
      <c r="A82" s="584">
        <v>0</v>
      </c>
      <c r="B82" s="585" t="s">
        <v>922</v>
      </c>
      <c r="C82" s="954" t="s">
        <v>923</v>
      </c>
      <c r="D82" s="954"/>
      <c r="E82" s="586">
        <v>11082207.51</v>
      </c>
      <c r="F82" s="586">
        <v>25193.58</v>
      </c>
      <c r="I82" s="287"/>
      <c r="J82" s="287"/>
      <c r="K82" s="287">
        <f>+K86-K83-K84</f>
        <v>-5028320375.5433016</v>
      </c>
      <c r="L82" s="287" t="s">
        <v>1020</v>
      </c>
      <c r="M82" s="587"/>
      <c r="N82" s="587">
        <f t="shared" ref="N82:N83" si="1">+K82/1000</f>
        <v>-5028320.3755433019</v>
      </c>
    </row>
    <row r="83" spans="1:14" ht="14.25" customHeight="1">
      <c r="A83" s="584">
        <v>0</v>
      </c>
      <c r="B83" s="585" t="s">
        <v>924</v>
      </c>
      <c r="C83" s="954" t="s">
        <v>925</v>
      </c>
      <c r="D83" s="954"/>
      <c r="E83" s="586">
        <v>219079.04000000001</v>
      </c>
      <c r="F83" s="586">
        <v>578560.56000000006</v>
      </c>
      <c r="I83" s="287">
        <f>SUM(E45:E67)-E48-E49-E50-E51-E65</f>
        <v>3303451886.2800007</v>
      </c>
      <c r="J83" s="287">
        <f>SUM(F45:F67)-F48-F49-F50-F51-F65</f>
        <v>3495481445.1300001</v>
      </c>
      <c r="K83" s="287">
        <f t="shared" si="0"/>
        <v>-192029558.84999943</v>
      </c>
      <c r="L83" s="287" t="s">
        <v>1021</v>
      </c>
      <c r="M83" s="587"/>
      <c r="N83" s="587">
        <f t="shared" si="1"/>
        <v>-192029.55884999942</v>
      </c>
    </row>
    <row r="84" spans="1:14" ht="14.25" customHeight="1">
      <c r="A84" s="584">
        <v>0</v>
      </c>
      <c r="B84" s="585" t="s">
        <v>926</v>
      </c>
      <c r="C84" s="954" t="s">
        <v>927</v>
      </c>
      <c r="D84" s="954"/>
      <c r="E84" s="586">
        <v>847960</v>
      </c>
      <c r="F84" s="586">
        <v>5177964.4000000004</v>
      </c>
      <c r="I84" s="287">
        <f>SUM(E68:E89)</f>
        <v>675120894.58000016</v>
      </c>
      <c r="J84" s="287">
        <f>SUM(F68:F89)</f>
        <v>433626648.88999993</v>
      </c>
      <c r="K84" s="287">
        <f>+I84-J84</f>
        <v>241494245.69000024</v>
      </c>
      <c r="L84" s="287" t="s">
        <v>944</v>
      </c>
      <c r="M84" s="587" t="s">
        <v>1149</v>
      </c>
      <c r="N84" s="587">
        <f>+K84/1000</f>
        <v>241494.24569000024</v>
      </c>
    </row>
    <row r="85" spans="1:14" ht="14.25" customHeight="1">
      <c r="A85" s="584">
        <v>0</v>
      </c>
      <c r="B85" s="585" t="s">
        <v>928</v>
      </c>
      <c r="C85" s="954" t="s">
        <v>929</v>
      </c>
      <c r="D85" s="954"/>
      <c r="E85" s="586">
        <v>3988010.09</v>
      </c>
      <c r="F85" s="586">
        <v>6794376.4000000004</v>
      </c>
      <c r="I85" s="287"/>
      <c r="J85" s="287"/>
      <c r="K85" s="287"/>
      <c r="L85" s="287"/>
      <c r="M85" s="587"/>
      <c r="N85" s="587"/>
    </row>
    <row r="86" spans="1:14" ht="18" customHeight="1">
      <c r="A86" s="584">
        <v>0</v>
      </c>
      <c r="B86" s="585" t="s">
        <v>930</v>
      </c>
      <c r="C86" s="954" t="s">
        <v>931</v>
      </c>
      <c r="D86" s="954"/>
      <c r="E86" s="586">
        <v>2415034.42</v>
      </c>
      <c r="F86" s="586">
        <v>2590652.73</v>
      </c>
      <c r="I86" s="287"/>
      <c r="J86" s="287"/>
      <c r="K86" s="287">
        <f>+income!D19</f>
        <v>-4978855688.7033005</v>
      </c>
      <c r="L86" s="287"/>
      <c r="M86" s="587"/>
      <c r="N86" s="587"/>
    </row>
    <row r="87" spans="1:14" ht="15" customHeight="1">
      <c r="A87" s="584">
        <v>0</v>
      </c>
      <c r="B87" s="585" t="s">
        <v>932</v>
      </c>
      <c r="C87" s="954" t="s">
        <v>933</v>
      </c>
      <c r="D87" s="954"/>
      <c r="E87" s="586">
        <v>1593531.13</v>
      </c>
      <c r="F87" s="586">
        <v>2235218.37</v>
      </c>
      <c r="L87" s="587"/>
      <c r="M87" s="587"/>
      <c r="N87" s="587"/>
    </row>
    <row r="88" spans="1:14" ht="3" customHeight="1">
      <c r="A88" s="584">
        <v>0</v>
      </c>
      <c r="B88" s="585" t="s">
        <v>934</v>
      </c>
      <c r="C88" s="954" t="s">
        <v>935</v>
      </c>
      <c r="D88" s="954"/>
      <c r="E88" s="586">
        <v>10809836.83</v>
      </c>
      <c r="F88" s="586">
        <v>11968645.449999999</v>
      </c>
      <c r="L88" s="587"/>
      <c r="M88" s="587"/>
      <c r="N88" s="587"/>
    </row>
    <row r="89" spans="1:14" ht="15" customHeight="1">
      <c r="A89" s="584">
        <v>0</v>
      </c>
      <c r="B89" s="585" t="s">
        <v>936</v>
      </c>
      <c r="C89" s="954" t="s">
        <v>937</v>
      </c>
      <c r="D89" s="954"/>
      <c r="E89" s="586">
        <v>20826658.57</v>
      </c>
      <c r="F89" s="586">
        <v>96847.679999999993</v>
      </c>
      <c r="L89" s="587"/>
      <c r="M89" s="587"/>
      <c r="N89" s="587"/>
    </row>
    <row r="90" spans="1:14" ht="31.5" customHeight="1"/>
    <row r="91" spans="1:14" ht="10.5" customHeight="1">
      <c r="A91" s="955" t="s">
        <v>938</v>
      </c>
      <c r="B91" s="955"/>
      <c r="C91" s="955"/>
      <c r="D91" s="1201" t="s">
        <v>939</v>
      </c>
      <c r="E91" s="1201"/>
      <c r="F91" s="1201"/>
    </row>
    <row r="92" spans="1:14" ht="2.25" customHeight="1"/>
    <row r="93" spans="1:14" ht="12">
      <c r="A93" s="955" t="s">
        <v>940</v>
      </c>
      <c r="B93" s="955"/>
      <c r="C93" s="955"/>
      <c r="D93" s="1201" t="s">
        <v>939</v>
      </c>
      <c r="E93" s="1201"/>
      <c r="F93" s="1201"/>
    </row>
    <row r="95" spans="1:14" ht="12">
      <c r="A95" s="950" t="s">
        <v>941</v>
      </c>
      <c r="B95" s="951">
        <v>43140.8750925926</v>
      </c>
      <c r="C95" s="951"/>
      <c r="D95" s="951"/>
      <c r="E95" s="950" t="s">
        <v>942</v>
      </c>
      <c r="F95" s="328" t="s">
        <v>943</v>
      </c>
    </row>
    <row r="96" spans="1:14">
      <c r="A96" s="950"/>
      <c r="B96" s="951"/>
      <c r="C96" s="951"/>
      <c r="D96" s="951"/>
      <c r="E96" s="950"/>
    </row>
  </sheetData>
  <mergeCells count="94">
    <mergeCell ref="A95:A96"/>
    <mergeCell ref="B95:D96"/>
    <mergeCell ref="E95:E96"/>
    <mergeCell ref="C88:D88"/>
    <mergeCell ref="C89:D89"/>
    <mergeCell ref="A91:C91"/>
    <mergeCell ref="D91:F91"/>
    <mergeCell ref="A93:C93"/>
    <mergeCell ref="D93:F93"/>
    <mergeCell ref="C81:D81"/>
    <mergeCell ref="C82:D82"/>
    <mergeCell ref="C83:D83"/>
    <mergeCell ref="C84:D84"/>
    <mergeCell ref="C75:D75"/>
    <mergeCell ref="C76:D76"/>
    <mergeCell ref="C77:D77"/>
    <mergeCell ref="C78:D78"/>
    <mergeCell ref="C79:D79"/>
    <mergeCell ref="C85:D85"/>
    <mergeCell ref="C86:D86"/>
    <mergeCell ref="C87:D87"/>
    <mergeCell ref="C74:D74"/>
    <mergeCell ref="C63:D63"/>
    <mergeCell ref="C64:D64"/>
    <mergeCell ref="C65:D65"/>
    <mergeCell ref="C66:D66"/>
    <mergeCell ref="C67:D67"/>
    <mergeCell ref="C68:D68"/>
    <mergeCell ref="C69:D69"/>
    <mergeCell ref="C70:D70"/>
    <mergeCell ref="C71:D71"/>
    <mergeCell ref="C72:D72"/>
    <mergeCell ref="C73:D73"/>
    <mergeCell ref="C80:D80"/>
    <mergeCell ref="C62:D62"/>
    <mergeCell ref="C51:D51"/>
    <mergeCell ref="C52:D52"/>
    <mergeCell ref="C53:D53"/>
    <mergeCell ref="C54:D54"/>
    <mergeCell ref="C55:D55"/>
    <mergeCell ref="C56:D56"/>
    <mergeCell ref="C57:D57"/>
    <mergeCell ref="C58:D58"/>
    <mergeCell ref="C59:D59"/>
    <mergeCell ref="C60:D60"/>
    <mergeCell ref="C61:D61"/>
    <mergeCell ref="C50:D50"/>
    <mergeCell ref="C39:D39"/>
    <mergeCell ref="C40:D40"/>
    <mergeCell ref="C41:D41"/>
    <mergeCell ref="C42:D42"/>
    <mergeCell ref="C43:D43"/>
    <mergeCell ref="C44:D44"/>
    <mergeCell ref="C45:D45"/>
    <mergeCell ref="C46:D46"/>
    <mergeCell ref="C47:D47"/>
    <mergeCell ref="C48:D48"/>
    <mergeCell ref="C49:D49"/>
    <mergeCell ref="C38:D38"/>
    <mergeCell ref="C27:D27"/>
    <mergeCell ref="C28:D28"/>
    <mergeCell ref="C29:D29"/>
    <mergeCell ref="C30:D30"/>
    <mergeCell ref="C31:D31"/>
    <mergeCell ref="C32:D32"/>
    <mergeCell ref="C33:D33"/>
    <mergeCell ref="C34:D34"/>
    <mergeCell ref="C35:D35"/>
    <mergeCell ref="C36:D36"/>
    <mergeCell ref="C37:D37"/>
    <mergeCell ref="C26:D26"/>
    <mergeCell ref="C15:D15"/>
    <mergeCell ref="C16:D16"/>
    <mergeCell ref="C17:D17"/>
    <mergeCell ref="C18:D18"/>
    <mergeCell ref="C19:D19"/>
    <mergeCell ref="C20:D20"/>
    <mergeCell ref="C21:D21"/>
    <mergeCell ref="C22:D22"/>
    <mergeCell ref="C23:D23"/>
    <mergeCell ref="C24:D24"/>
    <mergeCell ref="C25:D25"/>
    <mergeCell ref="C14:D14"/>
    <mergeCell ref="A2:B2"/>
    <mergeCell ref="C2:F2"/>
    <mergeCell ref="E4:F4"/>
    <mergeCell ref="A6:F6"/>
    <mergeCell ref="A8:D8"/>
    <mergeCell ref="E8:F8"/>
    <mergeCell ref="B10:D10"/>
    <mergeCell ref="E10:F10"/>
    <mergeCell ref="C11:D11"/>
    <mergeCell ref="C12:D12"/>
    <mergeCell ref="C13:D1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6"/>
  <sheetViews>
    <sheetView topLeftCell="H1" workbookViewId="0">
      <selection activeCell="G43" activeCellId="1" sqref="B5:C5 G43"/>
    </sheetView>
  </sheetViews>
  <sheetFormatPr defaultRowHeight="13.2"/>
  <cols>
    <col min="2" max="2" width="34.109375" bestFit="1" customWidth="1"/>
    <col min="3" max="3" width="34.44140625" bestFit="1" customWidth="1"/>
    <col min="4" max="4" width="13.6640625" bestFit="1" customWidth="1"/>
    <col min="5" max="5" width="31.33203125" bestFit="1" customWidth="1"/>
    <col min="6" max="6" width="22.33203125" bestFit="1" customWidth="1"/>
    <col min="7" max="7" width="15.5546875" bestFit="1" customWidth="1"/>
    <col min="8" max="8" width="12.33203125" bestFit="1" customWidth="1"/>
    <col min="9" max="9" width="26.109375" bestFit="1" customWidth="1"/>
    <col min="10" max="10" width="22.5546875" bestFit="1" customWidth="1"/>
    <col min="11" max="11" width="12.5546875" bestFit="1" customWidth="1"/>
    <col min="12" max="12" width="10.33203125" bestFit="1" customWidth="1"/>
    <col min="13" max="13" width="14" bestFit="1" customWidth="1"/>
    <col min="14" max="14" width="12.33203125" bestFit="1" customWidth="1"/>
  </cols>
  <sheetData>
    <row r="1" spans="1:14" ht="13.8">
      <c r="A1" s="459" t="s">
        <v>1101</v>
      </c>
      <c r="B1" s="459"/>
      <c r="C1" s="459"/>
      <c r="D1" s="459"/>
      <c r="E1" s="459"/>
      <c r="F1" s="459"/>
      <c r="G1" s="459"/>
      <c r="H1" s="459"/>
      <c r="I1" s="459"/>
      <c r="J1" s="459"/>
      <c r="K1" s="459"/>
      <c r="L1" s="459"/>
      <c r="M1" s="459"/>
      <c r="N1" s="459"/>
    </row>
    <row r="2" spans="1:14" ht="13.8">
      <c r="A2" s="459"/>
      <c r="B2" s="459"/>
      <c r="C2" s="459"/>
      <c r="D2" s="459"/>
      <c r="E2" s="459"/>
      <c r="F2" s="459"/>
      <c r="G2" s="459"/>
      <c r="H2" s="459"/>
      <c r="I2" s="459"/>
      <c r="J2" s="459"/>
      <c r="K2" s="459"/>
      <c r="L2" s="459"/>
      <c r="M2" s="459"/>
      <c r="N2" s="459"/>
    </row>
    <row r="3" spans="1:14">
      <c r="A3" s="1205" t="s">
        <v>79</v>
      </c>
      <c r="B3" s="1204" t="s">
        <v>1102</v>
      </c>
      <c r="C3" s="1204" t="s">
        <v>1103</v>
      </c>
      <c r="D3" s="1204" t="s">
        <v>1104</v>
      </c>
      <c r="E3" s="1204" t="s">
        <v>1105</v>
      </c>
      <c r="F3" s="1204" t="s">
        <v>1106</v>
      </c>
      <c r="G3" s="1204" t="s">
        <v>1107</v>
      </c>
      <c r="H3" s="1204" t="s">
        <v>1108</v>
      </c>
      <c r="I3" s="1204" t="s">
        <v>1109</v>
      </c>
      <c r="J3" s="1204" t="s">
        <v>1110</v>
      </c>
      <c r="K3" s="1204" t="s">
        <v>1107</v>
      </c>
      <c r="L3" s="1204" t="s">
        <v>1111</v>
      </c>
      <c r="M3" s="1204" t="s">
        <v>1112</v>
      </c>
      <c r="N3" s="1204"/>
    </row>
    <row r="4" spans="1:14">
      <c r="A4" s="1205"/>
      <c r="B4" s="1204"/>
      <c r="C4" s="1204"/>
      <c r="D4" s="1204"/>
      <c r="E4" s="1204"/>
      <c r="F4" s="1204"/>
      <c r="G4" s="1204"/>
      <c r="H4" s="1204"/>
      <c r="I4" s="1204"/>
      <c r="J4" s="1204"/>
      <c r="K4" s="1204"/>
      <c r="L4" s="1204"/>
      <c r="M4" s="588" t="s">
        <v>1113</v>
      </c>
      <c r="N4" s="588" t="s">
        <v>1114</v>
      </c>
    </row>
    <row r="5" spans="1:14" ht="14.4">
      <c r="A5" s="456">
        <v>1</v>
      </c>
      <c r="B5" s="461" t="s">
        <v>795</v>
      </c>
      <c r="C5" s="462">
        <v>2076357</v>
      </c>
      <c r="D5" s="457" t="s">
        <v>1115</v>
      </c>
      <c r="E5" s="458">
        <v>11009410000</v>
      </c>
      <c r="F5" s="458">
        <v>25010400000</v>
      </c>
      <c r="G5" s="458">
        <v>-14000990000</v>
      </c>
      <c r="H5" s="458">
        <v>316714650.15000004</v>
      </c>
      <c r="I5" s="458">
        <v>2066031865</v>
      </c>
      <c r="J5" s="463">
        <v>1150000000</v>
      </c>
      <c r="K5" s="460">
        <v>916031865</v>
      </c>
      <c r="L5" s="458">
        <v>867616.44</v>
      </c>
      <c r="M5" s="464">
        <v>8943378135</v>
      </c>
      <c r="N5" s="465">
        <v>315847033.71000004</v>
      </c>
    </row>
    <row r="6" spans="1:14">
      <c r="M6" s="589">
        <f>+E5-I5</f>
        <v>8943378135</v>
      </c>
      <c r="N6" s="589">
        <f>+H5-L5</f>
        <v>315847033.71000004</v>
      </c>
    </row>
  </sheetData>
  <mergeCells count="13">
    <mergeCell ref="M3:N3"/>
    <mergeCell ref="G3:G4"/>
    <mergeCell ref="H3:H4"/>
    <mergeCell ref="I3:I4"/>
    <mergeCell ref="J3:J4"/>
    <mergeCell ref="K3:K4"/>
    <mergeCell ref="L3:L4"/>
    <mergeCell ref="F3:F4"/>
    <mergeCell ref="A3:A4"/>
    <mergeCell ref="B3:B4"/>
    <mergeCell ref="C3:C4"/>
    <mergeCell ref="D3:D4"/>
    <mergeCell ref="E3: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E72"/>
  <sheetViews>
    <sheetView zoomScale="80" zoomScaleNormal="80" workbookViewId="0">
      <pane xSplit="3" ySplit="8" topLeftCell="D51" activePane="bottomRight" state="frozen"/>
      <selection pane="topRight" activeCell="D1" sqref="D1"/>
      <selection pane="bottomLeft" activeCell="A9" sqref="A9"/>
      <selection pane="bottomRight" activeCell="G66" sqref="G66"/>
    </sheetView>
  </sheetViews>
  <sheetFormatPr defaultColWidth="9.109375" defaultRowHeight="13.2"/>
  <cols>
    <col min="1" max="1" width="8" style="416" customWidth="1"/>
    <col min="2" max="2" width="46.33203125" style="416" customWidth="1"/>
    <col min="3" max="4" width="19" style="830" customWidth="1"/>
    <col min="5" max="5" width="15.77734375" style="416" bestFit="1" customWidth="1"/>
    <col min="6" max="16384" width="9.109375" style="416"/>
  </cols>
  <sheetData>
    <row r="1" spans="1:4">
      <c r="A1" s="806"/>
      <c r="B1" s="416" t="s">
        <v>976</v>
      </c>
      <c r="C1" s="826"/>
      <c r="D1" s="826"/>
    </row>
    <row r="3" spans="1:4">
      <c r="A3" s="827" t="str">
        <f>+nuur1!A3</f>
        <v>"ГОВЬ" ХК-ийн</v>
      </c>
      <c r="C3" s="828"/>
      <c r="D3" s="829" t="str">
        <f>+nuur1!A7</f>
        <v>2022  оны  12  сарын 31 өдөр</v>
      </c>
    </row>
    <row r="4" spans="1:4">
      <c r="A4" s="416" t="s">
        <v>0</v>
      </c>
      <c r="D4" s="829" t="s">
        <v>1</v>
      </c>
    </row>
    <row r="5" spans="1:4">
      <c r="A5" s="957" t="s">
        <v>4</v>
      </c>
      <c r="B5" s="959" t="s">
        <v>5</v>
      </c>
      <c r="C5" s="961" t="s">
        <v>6</v>
      </c>
      <c r="D5" s="961"/>
    </row>
    <row r="6" spans="1:4">
      <c r="A6" s="958"/>
      <c r="B6" s="960"/>
      <c r="C6" s="793" t="s">
        <v>161</v>
      </c>
      <c r="D6" s="793" t="s">
        <v>1449</v>
      </c>
    </row>
    <row r="7" spans="1:4">
      <c r="A7" s="831" t="s">
        <v>977</v>
      </c>
      <c r="B7" s="831" t="s">
        <v>978</v>
      </c>
      <c r="C7" s="832"/>
      <c r="D7" s="832"/>
    </row>
    <row r="8" spans="1:4">
      <c r="A8" s="831" t="s">
        <v>150</v>
      </c>
      <c r="B8" s="831" t="s">
        <v>7</v>
      </c>
      <c r="C8" s="832"/>
      <c r="D8" s="832"/>
    </row>
    <row r="9" spans="1:4">
      <c r="A9" s="831" t="s">
        <v>151</v>
      </c>
      <c r="B9" s="831" t="s">
        <v>8</v>
      </c>
      <c r="C9" s="912">
        <v>4389479081.5796995</v>
      </c>
      <c r="D9" s="912">
        <v>9034919308.4724007</v>
      </c>
    </row>
    <row r="10" spans="1:4">
      <c r="A10" s="831" t="s">
        <v>152</v>
      </c>
      <c r="B10" s="831" t="s">
        <v>9</v>
      </c>
      <c r="C10" s="912">
        <v>590467242.35512948</v>
      </c>
      <c r="D10" s="912">
        <v>1264842945.8707998</v>
      </c>
    </row>
    <row r="11" spans="1:4">
      <c r="A11" s="831" t="s">
        <v>153</v>
      </c>
      <c r="B11" s="831" t="s">
        <v>979</v>
      </c>
      <c r="C11" s="912">
        <v>933376629.47749984</v>
      </c>
      <c r="D11" s="912">
        <v>1394151826.9299998</v>
      </c>
    </row>
    <row r="12" spans="1:4">
      <c r="A12" s="831" t="s">
        <v>154</v>
      </c>
      <c r="B12" s="831" t="s">
        <v>10</v>
      </c>
      <c r="C12" s="912">
        <v>734284950.72781515</v>
      </c>
      <c r="D12" s="912">
        <v>659991281.70000088</v>
      </c>
    </row>
    <row r="13" spans="1:4">
      <c r="A13" s="831" t="s">
        <v>155</v>
      </c>
      <c r="B13" s="831" t="s">
        <v>11</v>
      </c>
      <c r="C13" s="912">
        <v>0</v>
      </c>
      <c r="D13" s="912">
        <v>0</v>
      </c>
    </row>
    <row r="14" spans="1:4">
      <c r="A14" s="831" t="s">
        <v>156</v>
      </c>
      <c r="B14" s="831" t="s">
        <v>12</v>
      </c>
      <c r="C14" s="912">
        <v>138030372093.22803</v>
      </c>
      <c r="D14" s="912">
        <v>128808689437.94135</v>
      </c>
    </row>
    <row r="15" spans="1:4">
      <c r="A15" s="831" t="s">
        <v>157</v>
      </c>
      <c r="B15" s="831" t="s">
        <v>13</v>
      </c>
      <c r="C15" s="912">
        <v>3127756708.1282043</v>
      </c>
      <c r="D15" s="912">
        <v>2318494718.8752141</v>
      </c>
    </row>
    <row r="16" spans="1:4">
      <c r="A16" s="831" t="s">
        <v>158</v>
      </c>
      <c r="B16" s="831" t="s">
        <v>14</v>
      </c>
      <c r="C16" s="912">
        <v>0</v>
      </c>
      <c r="D16" s="912">
        <v>0</v>
      </c>
    </row>
    <row r="17" spans="1:4" ht="26.4">
      <c r="A17" s="831" t="s">
        <v>159</v>
      </c>
      <c r="B17" s="834" t="s">
        <v>15</v>
      </c>
      <c r="C17" s="912">
        <v>0</v>
      </c>
      <c r="D17" s="912">
        <v>0</v>
      </c>
    </row>
    <row r="18" spans="1:4">
      <c r="A18" s="831" t="s">
        <v>160</v>
      </c>
      <c r="B18" s="831"/>
      <c r="C18" s="912"/>
      <c r="D18" s="912"/>
    </row>
    <row r="19" spans="1:4" s="419" customFormat="1" ht="13.8" thickBot="1">
      <c r="A19" s="835" t="s">
        <v>996</v>
      </c>
      <c r="B19" s="835" t="s">
        <v>997</v>
      </c>
      <c r="C19" s="913">
        <v>147805736705.49637</v>
      </c>
      <c r="D19" s="913">
        <f>+SUM(D8:D18)</f>
        <v>143481089519.78976</v>
      </c>
    </row>
    <row r="20" spans="1:4" s="419" customFormat="1">
      <c r="A20" s="835" t="s">
        <v>948</v>
      </c>
      <c r="B20" s="835" t="s">
        <v>577</v>
      </c>
      <c r="C20" s="914"/>
      <c r="D20" s="914"/>
    </row>
    <row r="21" spans="1:4">
      <c r="A21" s="831" t="s">
        <v>141</v>
      </c>
      <c r="B21" s="831" t="s">
        <v>16</v>
      </c>
      <c r="C21" s="912">
        <v>136177639108.59001</v>
      </c>
      <c r="D21" s="912">
        <v>137414206967.40826</v>
      </c>
    </row>
    <row r="22" spans="1:4">
      <c r="A22" s="831" t="s">
        <v>142</v>
      </c>
      <c r="B22" s="831" t="s">
        <v>17</v>
      </c>
      <c r="C22" s="912">
        <v>1765331666.6108403</v>
      </c>
      <c r="D22" s="912">
        <v>1180716045.7266014</v>
      </c>
    </row>
    <row r="23" spans="1:4">
      <c r="A23" s="831" t="s">
        <v>143</v>
      </c>
      <c r="B23" s="831" t="s">
        <v>18</v>
      </c>
      <c r="C23" s="912">
        <v>0</v>
      </c>
      <c r="D23" s="912">
        <v>0</v>
      </c>
    </row>
    <row r="24" spans="1:4">
      <c r="A24" s="831" t="s">
        <v>144</v>
      </c>
      <c r="B24" s="831" t="s">
        <v>19</v>
      </c>
      <c r="C24" s="912">
        <v>0</v>
      </c>
      <c r="D24" s="912">
        <v>0</v>
      </c>
    </row>
    <row r="25" spans="1:4">
      <c r="A25" s="831" t="s">
        <v>145</v>
      </c>
      <c r="B25" s="831" t="s">
        <v>20</v>
      </c>
      <c r="C25" s="912">
        <v>0</v>
      </c>
      <c r="D25" s="912">
        <v>0</v>
      </c>
    </row>
    <row r="26" spans="1:4">
      <c r="A26" s="831" t="s">
        <v>146</v>
      </c>
      <c r="B26" s="831" t="s">
        <v>21</v>
      </c>
      <c r="C26" s="912">
        <v>4325580906.21</v>
      </c>
      <c r="D26" s="912">
        <v>14879483005.309999</v>
      </c>
    </row>
    <row r="27" spans="1:4" ht="26.4">
      <c r="A27" s="831" t="s">
        <v>147</v>
      </c>
      <c r="B27" s="834" t="s">
        <v>22</v>
      </c>
      <c r="C27" s="912">
        <v>9226893632.9300003</v>
      </c>
      <c r="D27" s="912">
        <v>18368435.370000001</v>
      </c>
    </row>
    <row r="28" spans="1:4">
      <c r="A28" s="831" t="s">
        <v>148</v>
      </c>
      <c r="B28" s="831" t="s">
        <v>23</v>
      </c>
      <c r="C28" s="912">
        <v>557284710.23389995</v>
      </c>
      <c r="D28" s="912">
        <v>1138302794.9419999</v>
      </c>
    </row>
    <row r="29" spans="1:4">
      <c r="A29" s="831" t="s">
        <v>149</v>
      </c>
      <c r="B29" s="831"/>
      <c r="C29" s="912"/>
      <c r="D29" s="912"/>
    </row>
    <row r="30" spans="1:4" s="419" customFormat="1">
      <c r="A30" s="835" t="s">
        <v>998</v>
      </c>
      <c r="B30" s="835" t="s">
        <v>974</v>
      </c>
      <c r="C30" s="915">
        <v>152052730024.57474</v>
      </c>
      <c r="D30" s="915">
        <f>SUM(D21:D29)</f>
        <v>154631077248.75684</v>
      </c>
    </row>
    <row r="31" spans="1:4" s="419" customFormat="1" ht="13.8" thickBot="1">
      <c r="A31" s="835" t="s">
        <v>949</v>
      </c>
      <c r="B31" s="835" t="s">
        <v>975</v>
      </c>
      <c r="C31" s="916">
        <v>299858466730.07111</v>
      </c>
      <c r="D31" s="916">
        <f>+D19+D30</f>
        <v>298112166768.54663</v>
      </c>
    </row>
    <row r="32" spans="1:4" s="419" customFormat="1">
      <c r="A32" s="835" t="s">
        <v>950</v>
      </c>
      <c r="B32" s="835" t="s">
        <v>999</v>
      </c>
      <c r="C32" s="914"/>
      <c r="D32" s="914"/>
    </row>
    <row r="33" spans="1:4">
      <c r="A33" s="831" t="s">
        <v>980</v>
      </c>
      <c r="B33" s="831" t="s">
        <v>981</v>
      </c>
      <c r="C33" s="912"/>
      <c r="D33" s="912"/>
    </row>
    <row r="34" spans="1:4">
      <c r="A34" s="831" t="s">
        <v>982</v>
      </c>
      <c r="B34" s="831" t="s">
        <v>983</v>
      </c>
      <c r="C34" s="912"/>
      <c r="D34" s="912"/>
    </row>
    <row r="35" spans="1:4">
      <c r="A35" s="831" t="s">
        <v>129</v>
      </c>
      <c r="B35" s="831" t="s">
        <v>24</v>
      </c>
      <c r="C35" s="912">
        <v>870177368.41690183</v>
      </c>
      <c r="D35" s="912">
        <v>13906483842.022713</v>
      </c>
    </row>
    <row r="36" spans="1:4">
      <c r="A36" s="831" t="s">
        <v>130</v>
      </c>
      <c r="B36" s="831" t="s">
        <v>25</v>
      </c>
      <c r="C36" s="912">
        <v>1292522885.0970001</v>
      </c>
      <c r="D36" s="912">
        <v>1710470352.5</v>
      </c>
    </row>
    <row r="37" spans="1:4">
      <c r="A37" s="831" t="s">
        <v>131</v>
      </c>
      <c r="B37" s="831" t="s">
        <v>26</v>
      </c>
      <c r="C37" s="912">
        <v>2177080282.5440998</v>
      </c>
      <c r="D37" s="912">
        <v>7605183769.098093</v>
      </c>
    </row>
    <row r="38" spans="1:4">
      <c r="A38" s="831" t="s">
        <v>132</v>
      </c>
      <c r="B38" s="831" t="s">
        <v>984</v>
      </c>
      <c r="C38" s="912">
        <v>0</v>
      </c>
      <c r="D38" s="912">
        <v>0</v>
      </c>
    </row>
    <row r="39" spans="1:4">
      <c r="A39" s="831" t="s">
        <v>133</v>
      </c>
      <c r="B39" s="831" t="s">
        <v>27</v>
      </c>
      <c r="C39" s="912">
        <v>150436948158.08801</v>
      </c>
      <c r="D39" s="912">
        <v>127762047950.34</v>
      </c>
    </row>
    <row r="40" spans="1:4">
      <c r="A40" s="831" t="s">
        <v>134</v>
      </c>
      <c r="B40" s="831" t="s">
        <v>28</v>
      </c>
      <c r="C40" s="912">
        <v>1899860719.1100001</v>
      </c>
      <c r="D40" s="912">
        <v>2091569014.4899998</v>
      </c>
    </row>
    <row r="41" spans="1:4">
      <c r="A41" s="831" t="s">
        <v>135</v>
      </c>
      <c r="B41" s="831" t="s">
        <v>29</v>
      </c>
      <c r="C41" s="912">
        <v>166932630.83000001</v>
      </c>
      <c r="D41" s="912">
        <v>166685462.43000001</v>
      </c>
    </row>
    <row r="42" spans="1:4">
      <c r="A42" s="831" t="s">
        <v>136</v>
      </c>
      <c r="B42" s="831" t="s">
        <v>30</v>
      </c>
      <c r="C42" s="912">
        <v>1370281253.5842001</v>
      </c>
      <c r="D42" s="912">
        <v>1983897611.5778</v>
      </c>
    </row>
    <row r="43" spans="1:4">
      <c r="A43" s="831" t="s">
        <v>137</v>
      </c>
      <c r="B43" s="831" t="s">
        <v>31</v>
      </c>
      <c r="C43" s="923"/>
      <c r="D43" s="923"/>
    </row>
    <row r="44" spans="1:4">
      <c r="A44" s="831" t="s">
        <v>138</v>
      </c>
      <c r="B44" s="831" t="s">
        <v>32</v>
      </c>
      <c r="C44" s="912">
        <v>12502986772.503077</v>
      </c>
      <c r="D44" s="912">
        <v>2067985792.6324379</v>
      </c>
    </row>
    <row r="45" spans="1:4" ht="39.6">
      <c r="A45" s="831" t="s">
        <v>139</v>
      </c>
      <c r="B45" s="834" t="s">
        <v>33</v>
      </c>
      <c r="C45" s="912">
        <v>0</v>
      </c>
      <c r="D45" s="912">
        <v>0</v>
      </c>
    </row>
    <row r="46" spans="1:4">
      <c r="A46" s="831" t="s">
        <v>140</v>
      </c>
      <c r="B46" s="831"/>
      <c r="C46" s="912"/>
      <c r="D46" s="912"/>
    </row>
    <row r="47" spans="1:4" s="419" customFormat="1" ht="13.8" thickBot="1">
      <c r="A47" s="835" t="s">
        <v>1000</v>
      </c>
      <c r="B47" s="835" t="s">
        <v>1001</v>
      </c>
      <c r="C47" s="913">
        <v>170716790070.17328</v>
      </c>
      <c r="D47" s="913">
        <f>+SUM(D35:D46)</f>
        <v>157294323795.09103</v>
      </c>
    </row>
    <row r="48" spans="1:4" s="419" customFormat="1">
      <c r="A48" s="835" t="s">
        <v>952</v>
      </c>
      <c r="B48" s="835" t="s">
        <v>642</v>
      </c>
      <c r="C48" s="914"/>
      <c r="D48" s="914"/>
    </row>
    <row r="49" spans="1:4">
      <c r="A49" s="831" t="s">
        <v>34</v>
      </c>
      <c r="B49" s="831" t="s">
        <v>35</v>
      </c>
      <c r="C49" s="912">
        <v>73721860000</v>
      </c>
      <c r="D49" s="912">
        <v>95686234411.270004</v>
      </c>
    </row>
    <row r="50" spans="1:4">
      <c r="A50" s="831" t="s">
        <v>36</v>
      </c>
      <c r="B50" s="831" t="s">
        <v>31</v>
      </c>
      <c r="C50" s="912">
        <v>0</v>
      </c>
      <c r="D50" s="912">
        <v>0</v>
      </c>
    </row>
    <row r="51" spans="1:4">
      <c r="A51" s="831" t="s">
        <v>37</v>
      </c>
      <c r="B51" s="831" t="s">
        <v>38</v>
      </c>
      <c r="C51" s="912">
        <v>0</v>
      </c>
      <c r="D51" s="912">
        <v>8206834000</v>
      </c>
    </row>
    <row r="52" spans="1:4">
      <c r="A52" s="831" t="s">
        <v>39</v>
      </c>
      <c r="B52" s="831" t="s">
        <v>40</v>
      </c>
      <c r="C52" s="912">
        <v>26294693764.057003</v>
      </c>
      <c r="D52" s="912">
        <v>31097009923.391888</v>
      </c>
    </row>
    <row r="53" spans="1:4">
      <c r="A53" s="831" t="s">
        <v>41</v>
      </c>
      <c r="B53" s="831"/>
      <c r="C53" s="912"/>
      <c r="D53" s="912"/>
    </row>
    <row r="54" spans="1:4" s="419" customFormat="1">
      <c r="A54" s="835" t="s">
        <v>128</v>
      </c>
      <c r="B54" s="835" t="s">
        <v>1002</v>
      </c>
      <c r="C54" s="915">
        <v>100016553764.05701</v>
      </c>
      <c r="D54" s="915">
        <f>+SUM(D49:D53)</f>
        <v>134990078334.6619</v>
      </c>
    </row>
    <row r="55" spans="1:4" s="419" customFormat="1" ht="13.8" thickBot="1">
      <c r="A55" s="835" t="s">
        <v>953</v>
      </c>
      <c r="B55" s="835" t="s">
        <v>1003</v>
      </c>
      <c r="C55" s="913">
        <v>270733343834.23029</v>
      </c>
      <c r="D55" s="913">
        <f>+D47+D54</f>
        <v>292284402129.75293</v>
      </c>
    </row>
    <row r="56" spans="1:4" s="419" customFormat="1">
      <c r="A56" s="835" t="s">
        <v>954</v>
      </c>
      <c r="B56" s="835" t="s">
        <v>1004</v>
      </c>
      <c r="C56" s="914"/>
      <c r="D56" s="914"/>
    </row>
    <row r="57" spans="1:4">
      <c r="A57" s="831" t="s">
        <v>42</v>
      </c>
      <c r="B57" s="831" t="s">
        <v>172</v>
      </c>
      <c r="C57" s="912"/>
      <c r="D57" s="912"/>
    </row>
    <row r="58" spans="1:4">
      <c r="A58" s="831" t="s">
        <v>43</v>
      </c>
      <c r="B58" s="831" t="s">
        <v>44</v>
      </c>
      <c r="C58" s="912">
        <v>0</v>
      </c>
      <c r="D58" s="912">
        <v>0</v>
      </c>
    </row>
    <row r="59" spans="1:4">
      <c r="A59" s="831" t="s">
        <v>45</v>
      </c>
      <c r="B59" s="831" t="s">
        <v>46</v>
      </c>
      <c r="C59" s="912">
        <v>780112793.59999847</v>
      </c>
      <c r="D59" s="912">
        <v>780112793.59999847</v>
      </c>
    </row>
    <row r="60" spans="1:4">
      <c r="A60" s="831" t="s">
        <v>47</v>
      </c>
      <c r="B60" s="831" t="s">
        <v>48</v>
      </c>
      <c r="C60" s="912"/>
      <c r="D60" s="912"/>
    </row>
    <row r="61" spans="1:4">
      <c r="A61" s="831" t="s">
        <v>49</v>
      </c>
      <c r="B61" s="831" t="s">
        <v>50</v>
      </c>
      <c r="C61" s="912"/>
      <c r="D61" s="912"/>
    </row>
    <row r="62" spans="1:4">
      <c r="A62" s="831" t="s">
        <v>51</v>
      </c>
      <c r="B62" s="831" t="s">
        <v>52</v>
      </c>
      <c r="C62" s="912">
        <v>48870400577.309998</v>
      </c>
      <c r="D62" s="912">
        <v>44568539577.309998</v>
      </c>
    </row>
    <row r="63" spans="1:4">
      <c r="A63" s="831" t="s">
        <v>53</v>
      </c>
      <c r="B63" s="831" t="s">
        <v>54</v>
      </c>
      <c r="C63" s="912">
        <v>561877727.10192502</v>
      </c>
      <c r="D63" s="912">
        <v>-11436009844.975689</v>
      </c>
    </row>
    <row r="64" spans="1:4">
      <c r="A64" s="831" t="s">
        <v>55</v>
      </c>
      <c r="B64" s="831" t="s">
        <v>56</v>
      </c>
      <c r="C64" s="912"/>
      <c r="D64" s="912"/>
    </row>
    <row r="65" spans="1:5">
      <c r="A65" s="831" t="s">
        <v>57</v>
      </c>
      <c r="B65" s="831" t="s">
        <v>58</v>
      </c>
      <c r="C65" s="912">
        <v>-21087268202.183891</v>
      </c>
      <c r="D65" s="912">
        <v>-28084877887.186928</v>
      </c>
      <c r="E65" s="429"/>
    </row>
    <row r="66" spans="1:5">
      <c r="A66" s="831" t="s">
        <v>59</v>
      </c>
      <c r="B66" s="831"/>
      <c r="C66" s="912"/>
      <c r="D66" s="912"/>
    </row>
    <row r="67" spans="1:5" s="419" customFormat="1" ht="13.8" thickBot="1">
      <c r="A67" s="835" t="s">
        <v>1005</v>
      </c>
      <c r="B67" s="835" t="s">
        <v>1006</v>
      </c>
      <c r="C67" s="913">
        <v>29125122895.828033</v>
      </c>
      <c r="D67" s="913">
        <f>+SUM(D57:D66)</f>
        <v>5827764638.7473793</v>
      </c>
    </row>
    <row r="68" spans="1:5" s="419" customFormat="1" ht="13.8" thickBot="1">
      <c r="A68" s="835" t="s">
        <v>955</v>
      </c>
      <c r="B68" s="835" t="s">
        <v>1007</v>
      </c>
      <c r="C68" s="916">
        <v>299858466730.05835</v>
      </c>
      <c r="D68" s="916">
        <f>+D55+D67</f>
        <v>298112166768.50031</v>
      </c>
    </row>
    <row r="69" spans="1:5">
      <c r="C69" s="839"/>
      <c r="D69" s="839"/>
    </row>
    <row r="70" spans="1:5">
      <c r="B70" s="806" t="str">
        <f>+nuur1!A19</f>
        <v xml:space="preserve">                                       Гүйцэтгэх  Захирал:                                   ________________                /Ц.Баатарсайхан/</v>
      </c>
    </row>
    <row r="72" spans="1:5">
      <c r="B72" s="806" t="str">
        <f>+nuur1!A21</f>
        <v xml:space="preserve">                                       Санхүү бүртгэл хариуцсан захирал:        ________________               /Д.Содгэрэл/</v>
      </c>
    </row>
  </sheetData>
  <mergeCells count="3">
    <mergeCell ref="A5:A6"/>
    <mergeCell ref="B5:B6"/>
    <mergeCell ref="C5:D5"/>
  </mergeCells>
  <phoneticPr fontId="9" type="noConversion"/>
  <printOptions horizontalCentered="1"/>
  <pageMargins left="0.3" right="0.25" top="0.35" bottom="0.39"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G72"/>
  <sheetViews>
    <sheetView topLeftCell="A46" zoomScale="80" zoomScaleNormal="80" workbookViewId="0">
      <selection activeCell="D28" sqref="D28"/>
    </sheetView>
  </sheetViews>
  <sheetFormatPr defaultColWidth="9.109375" defaultRowHeight="13.2"/>
  <cols>
    <col min="1" max="1" width="8" style="416" customWidth="1"/>
    <col min="2" max="2" width="46.33203125" style="416" customWidth="1"/>
    <col min="3" max="4" width="19" style="830" customWidth="1"/>
    <col min="5" max="5" width="14" style="420" customWidth="1"/>
    <col min="6" max="6" width="23" style="420" customWidth="1"/>
    <col min="7" max="7" width="12" style="416" bestFit="1" customWidth="1"/>
    <col min="8" max="16384" width="9.109375" style="416"/>
  </cols>
  <sheetData>
    <row r="1" spans="1:7">
      <c r="A1" s="806"/>
      <c r="B1" s="416" t="s">
        <v>976</v>
      </c>
      <c r="C1" s="826"/>
      <c r="D1" s="826"/>
      <c r="E1" s="841"/>
    </row>
    <row r="3" spans="1:7">
      <c r="A3" s="827" t="str">
        <f>+[2]nuur1!A3</f>
        <v xml:space="preserve"> ГОЁО НООЛУУР ХХК-ИЙН</v>
      </c>
      <c r="C3" s="828"/>
      <c r="D3" s="829" t="str">
        <f>+[2]nuur1!A7</f>
        <v>2019  оны  06  сарын 30 өдөр</v>
      </c>
    </row>
    <row r="4" spans="1:7">
      <c r="A4" s="416" t="s">
        <v>0</v>
      </c>
      <c r="D4" s="829" t="s">
        <v>1</v>
      </c>
    </row>
    <row r="5" spans="1:7">
      <c r="A5" s="962" t="s">
        <v>4</v>
      </c>
      <c r="B5" s="963" t="s">
        <v>5</v>
      </c>
      <c r="C5" s="964" t="s">
        <v>6</v>
      </c>
      <c r="D5" s="964"/>
    </row>
    <row r="6" spans="1:7">
      <c r="A6" s="958"/>
      <c r="B6" s="960"/>
      <c r="C6" s="856" t="s">
        <v>161</v>
      </c>
      <c r="D6" s="856" t="s">
        <v>1405</v>
      </c>
      <c r="F6" s="857" t="s">
        <v>1406</v>
      </c>
    </row>
    <row r="7" spans="1:7">
      <c r="A7" s="858" t="s">
        <v>977</v>
      </c>
      <c r="B7" s="858" t="s">
        <v>978</v>
      </c>
      <c r="C7" s="859"/>
      <c r="D7" s="859"/>
    </row>
    <row r="8" spans="1:7">
      <c r="A8" s="858" t="s">
        <v>150</v>
      </c>
      <c r="B8" s="858" t="s">
        <v>7</v>
      </c>
      <c r="C8" s="859"/>
      <c r="D8" s="859"/>
    </row>
    <row r="9" spans="1:7">
      <c r="A9" s="858" t="s">
        <v>151</v>
      </c>
      <c r="B9" s="858" t="s">
        <v>8</v>
      </c>
      <c r="C9" s="859">
        <v>9332254.7200000007</v>
      </c>
      <c r="D9" s="859">
        <v>9332254.7200000007</v>
      </c>
      <c r="F9" s="420">
        <v>9332254.7200000007</v>
      </c>
      <c r="G9" s="833">
        <f>+F9-D9</f>
        <v>0</v>
      </c>
    </row>
    <row r="10" spans="1:7">
      <c r="A10" s="858" t="s">
        <v>152</v>
      </c>
      <c r="B10" s="858" t="s">
        <v>9</v>
      </c>
      <c r="C10" s="859">
        <v>124803697.47</v>
      </c>
      <c r="D10" s="859">
        <v>124803697.47</v>
      </c>
      <c r="F10" s="420">
        <v>124803697.47</v>
      </c>
      <c r="G10" s="833">
        <f t="shared" ref="G10:G68" si="0">+F10-D10</f>
        <v>0</v>
      </c>
    </row>
    <row r="11" spans="1:7">
      <c r="A11" s="858" t="s">
        <v>153</v>
      </c>
      <c r="B11" s="858" t="s">
        <v>979</v>
      </c>
      <c r="C11" s="859">
        <v>227452371.51999998</v>
      </c>
      <c r="D11" s="859">
        <v>227452371.51999998</v>
      </c>
      <c r="F11" s="420">
        <v>227452371.51999998</v>
      </c>
      <c r="G11" s="833">
        <f t="shared" si="0"/>
        <v>0</v>
      </c>
    </row>
    <row r="12" spans="1:7">
      <c r="A12" s="858" t="s">
        <v>154</v>
      </c>
      <c r="B12" s="858" t="s">
        <v>10</v>
      </c>
      <c r="C12" s="859">
        <v>74457944.560000002</v>
      </c>
      <c r="D12" s="859">
        <v>74457944.560000002</v>
      </c>
      <c r="F12" s="420">
        <v>74457944.560000002</v>
      </c>
      <c r="G12" s="833">
        <f t="shared" si="0"/>
        <v>0</v>
      </c>
    </row>
    <row r="13" spans="1:7">
      <c r="A13" s="858" t="s">
        <v>155</v>
      </c>
      <c r="B13" s="858" t="s">
        <v>11</v>
      </c>
      <c r="C13" s="859">
        <v>0</v>
      </c>
      <c r="D13" s="859">
        <v>0</v>
      </c>
      <c r="F13" s="420">
        <v>0</v>
      </c>
      <c r="G13" s="833">
        <f t="shared" si="0"/>
        <v>0</v>
      </c>
    </row>
    <row r="14" spans="1:7">
      <c r="A14" s="858" t="s">
        <v>156</v>
      </c>
      <c r="B14" s="858" t="s">
        <v>12</v>
      </c>
      <c r="C14" s="859">
        <v>63717881272.040001</v>
      </c>
      <c r="D14" s="859">
        <v>63717881272.040001</v>
      </c>
      <c r="F14" s="420">
        <v>63717881272.040001</v>
      </c>
      <c r="G14" s="833">
        <f t="shared" si="0"/>
        <v>0</v>
      </c>
    </row>
    <row r="15" spans="1:7">
      <c r="A15" s="858" t="s">
        <v>157</v>
      </c>
      <c r="B15" s="858" t="s">
        <v>13</v>
      </c>
      <c r="C15" s="859">
        <v>2728482795.3500004</v>
      </c>
      <c r="D15" s="859">
        <v>2728482795.3500004</v>
      </c>
      <c r="F15" s="420">
        <v>2728482795.3500004</v>
      </c>
      <c r="G15" s="833">
        <f t="shared" si="0"/>
        <v>0</v>
      </c>
    </row>
    <row r="16" spans="1:7">
      <c r="A16" s="858" t="s">
        <v>158</v>
      </c>
      <c r="B16" s="858" t="s">
        <v>14</v>
      </c>
      <c r="C16" s="859"/>
      <c r="D16" s="859"/>
      <c r="F16" s="420">
        <v>0</v>
      </c>
      <c r="G16" s="833">
        <f t="shared" si="0"/>
        <v>0</v>
      </c>
    </row>
    <row r="17" spans="1:7" ht="26.4">
      <c r="A17" s="858" t="s">
        <v>159</v>
      </c>
      <c r="B17" s="860" t="s">
        <v>15</v>
      </c>
      <c r="C17" s="859"/>
      <c r="D17" s="859"/>
      <c r="F17" s="420">
        <v>0</v>
      </c>
      <c r="G17" s="833">
        <f t="shared" si="0"/>
        <v>0</v>
      </c>
    </row>
    <row r="18" spans="1:7">
      <c r="A18" s="858" t="s">
        <v>160</v>
      </c>
      <c r="B18" s="858"/>
      <c r="C18" s="859"/>
      <c r="D18" s="859"/>
      <c r="F18" s="420">
        <v>0</v>
      </c>
      <c r="G18" s="833">
        <f t="shared" si="0"/>
        <v>0</v>
      </c>
    </row>
    <row r="19" spans="1:7" s="419" customFormat="1" ht="13.8" thickBot="1">
      <c r="A19" s="861" t="s">
        <v>996</v>
      </c>
      <c r="B19" s="861" t="s">
        <v>997</v>
      </c>
      <c r="C19" s="862">
        <f>+SUM(C8:C18)</f>
        <v>66882410335.659996</v>
      </c>
      <c r="D19" s="862">
        <f>+SUM(D8:D18)</f>
        <v>66882410335.659996</v>
      </c>
      <c r="E19" s="421"/>
      <c r="F19" s="421">
        <v>66882410335.659996</v>
      </c>
      <c r="G19" s="833">
        <f t="shared" si="0"/>
        <v>0</v>
      </c>
    </row>
    <row r="20" spans="1:7" s="419" customFormat="1">
      <c r="A20" s="861" t="s">
        <v>948</v>
      </c>
      <c r="B20" s="861" t="s">
        <v>577</v>
      </c>
      <c r="C20" s="836"/>
      <c r="D20" s="836"/>
      <c r="E20" s="421"/>
      <c r="F20" s="421"/>
      <c r="G20" s="833">
        <f t="shared" si="0"/>
        <v>0</v>
      </c>
    </row>
    <row r="21" spans="1:7">
      <c r="A21" s="858" t="s">
        <v>141</v>
      </c>
      <c r="B21" s="858" t="s">
        <v>16</v>
      </c>
      <c r="C21" s="859">
        <v>41141755316.289986</v>
      </c>
      <c r="D21" s="859">
        <v>41141755316.289986</v>
      </c>
      <c r="F21" s="420">
        <v>41141755316.289986</v>
      </c>
      <c r="G21" s="833">
        <f t="shared" si="0"/>
        <v>0</v>
      </c>
    </row>
    <row r="22" spans="1:7">
      <c r="A22" s="858" t="s">
        <v>142</v>
      </c>
      <c r="B22" s="858" t="s">
        <v>17</v>
      </c>
      <c r="C22" s="859">
        <v>66250763.430000007</v>
      </c>
      <c r="D22" s="859">
        <v>66250763.430000007</v>
      </c>
      <c r="F22" s="420">
        <v>66250763.430000007</v>
      </c>
      <c r="G22" s="833">
        <f t="shared" si="0"/>
        <v>0</v>
      </c>
    </row>
    <row r="23" spans="1:7">
      <c r="A23" s="858" t="s">
        <v>143</v>
      </c>
      <c r="B23" s="858" t="s">
        <v>18</v>
      </c>
      <c r="C23" s="859"/>
      <c r="D23" s="859"/>
      <c r="F23" s="420">
        <v>0</v>
      </c>
      <c r="G23" s="833">
        <f t="shared" si="0"/>
        <v>0</v>
      </c>
    </row>
    <row r="24" spans="1:7">
      <c r="A24" s="858" t="s">
        <v>144</v>
      </c>
      <c r="B24" s="858" t="s">
        <v>19</v>
      </c>
      <c r="C24" s="859"/>
      <c r="D24" s="859"/>
      <c r="F24" s="420">
        <v>0</v>
      </c>
      <c r="G24" s="833">
        <f t="shared" si="0"/>
        <v>0</v>
      </c>
    </row>
    <row r="25" spans="1:7">
      <c r="A25" s="858" t="s">
        <v>145</v>
      </c>
      <c r="B25" s="858" t="s">
        <v>20</v>
      </c>
      <c r="C25" s="859"/>
      <c r="D25" s="859"/>
      <c r="F25" s="420">
        <v>0</v>
      </c>
      <c r="G25" s="833">
        <f t="shared" si="0"/>
        <v>0</v>
      </c>
    </row>
    <row r="26" spans="1:7">
      <c r="A26" s="858" t="s">
        <v>146</v>
      </c>
      <c r="B26" s="858" t="s">
        <v>21</v>
      </c>
      <c r="C26" s="859">
        <v>485181115.38999999</v>
      </c>
      <c r="D26" s="859">
        <v>485181115.38999999</v>
      </c>
      <c r="F26" s="420">
        <v>493557206.85000002</v>
      </c>
      <c r="G26" s="833">
        <f t="shared" si="0"/>
        <v>8376091.4600000381</v>
      </c>
    </row>
    <row r="27" spans="1:7" ht="26.4">
      <c r="A27" s="858" t="s">
        <v>147</v>
      </c>
      <c r="B27" s="860" t="s">
        <v>22</v>
      </c>
      <c r="C27" s="859">
        <v>0</v>
      </c>
      <c r="D27" s="859">
        <v>0</v>
      </c>
      <c r="F27" s="420">
        <v>0</v>
      </c>
      <c r="G27" s="833">
        <f t="shared" si="0"/>
        <v>0</v>
      </c>
    </row>
    <row r="28" spans="1:7">
      <c r="A28" s="858" t="s">
        <v>148</v>
      </c>
      <c r="B28" s="858" t="s">
        <v>23</v>
      </c>
      <c r="C28" s="859">
        <v>2454606732.2800007</v>
      </c>
      <c r="D28" s="859">
        <v>2454606732.2800007</v>
      </c>
      <c r="F28" s="420">
        <v>2454606732.2800007</v>
      </c>
      <c r="G28" s="833">
        <f t="shared" si="0"/>
        <v>0</v>
      </c>
    </row>
    <row r="29" spans="1:7">
      <c r="A29" s="858" t="s">
        <v>149</v>
      </c>
      <c r="B29" s="858"/>
      <c r="C29" s="859"/>
      <c r="D29" s="859"/>
      <c r="G29" s="833">
        <f t="shared" si="0"/>
        <v>0</v>
      </c>
    </row>
    <row r="30" spans="1:7" s="419" customFormat="1">
      <c r="A30" s="861" t="s">
        <v>998</v>
      </c>
      <c r="B30" s="861" t="s">
        <v>974</v>
      </c>
      <c r="C30" s="863">
        <f>SUM(C21:C29)</f>
        <v>44147793927.389984</v>
      </c>
      <c r="D30" s="863">
        <f>SUM(D21:D29)</f>
        <v>44147793927.389984</v>
      </c>
      <c r="E30" s="421"/>
      <c r="F30" s="421">
        <v>44156170018.849983</v>
      </c>
      <c r="G30" s="833">
        <f t="shared" si="0"/>
        <v>8376091.4599990845</v>
      </c>
    </row>
    <row r="31" spans="1:7" s="419" customFormat="1" ht="13.8" thickBot="1">
      <c r="A31" s="861" t="s">
        <v>949</v>
      </c>
      <c r="B31" s="861" t="s">
        <v>975</v>
      </c>
      <c r="C31" s="837">
        <f>+C19+C30</f>
        <v>111030204263.04999</v>
      </c>
      <c r="D31" s="837">
        <f>+D19+D30</f>
        <v>111030204263.04999</v>
      </c>
      <c r="E31" s="421"/>
      <c r="F31" s="421">
        <v>111038580354.50998</v>
      </c>
      <c r="G31" s="833">
        <f t="shared" si="0"/>
        <v>8376091.4599914551</v>
      </c>
    </row>
    <row r="32" spans="1:7" s="419" customFormat="1">
      <c r="A32" s="861" t="s">
        <v>950</v>
      </c>
      <c r="B32" s="861" t="s">
        <v>999</v>
      </c>
      <c r="C32" s="836"/>
      <c r="D32" s="836"/>
      <c r="E32" s="421"/>
      <c r="F32" s="421"/>
      <c r="G32" s="833">
        <f t="shared" si="0"/>
        <v>0</v>
      </c>
    </row>
    <row r="33" spans="1:7">
      <c r="A33" s="858" t="s">
        <v>980</v>
      </c>
      <c r="B33" s="858" t="s">
        <v>981</v>
      </c>
      <c r="C33" s="859"/>
      <c r="D33" s="859"/>
      <c r="G33" s="833">
        <f t="shared" si="0"/>
        <v>0</v>
      </c>
    </row>
    <row r="34" spans="1:7">
      <c r="A34" s="858" t="s">
        <v>982</v>
      </c>
      <c r="B34" s="858" t="s">
        <v>983</v>
      </c>
      <c r="C34" s="859"/>
      <c r="D34" s="859"/>
      <c r="G34" s="833">
        <f t="shared" si="0"/>
        <v>0</v>
      </c>
    </row>
    <row r="35" spans="1:7">
      <c r="A35" s="858" t="s">
        <v>129</v>
      </c>
      <c r="B35" s="858" t="s">
        <v>24</v>
      </c>
      <c r="C35" s="859">
        <v>2417379747.5999999</v>
      </c>
      <c r="D35" s="859">
        <v>2417379747.5999999</v>
      </c>
      <c r="F35" s="420">
        <v>2417379747.5999999</v>
      </c>
      <c r="G35" s="833">
        <f t="shared" si="0"/>
        <v>0</v>
      </c>
    </row>
    <row r="36" spans="1:7">
      <c r="A36" s="858" t="s">
        <v>130</v>
      </c>
      <c r="B36" s="858" t="s">
        <v>25</v>
      </c>
      <c r="C36" s="859">
        <v>618905070.95000005</v>
      </c>
      <c r="D36" s="859">
        <v>618905070.95000005</v>
      </c>
      <c r="F36" s="420">
        <v>618905070.95000005</v>
      </c>
      <c r="G36" s="833">
        <f t="shared" si="0"/>
        <v>0</v>
      </c>
    </row>
    <row r="37" spans="1:7">
      <c r="A37" s="858" t="s">
        <v>131</v>
      </c>
      <c r="B37" s="858" t="s">
        <v>26</v>
      </c>
      <c r="C37" s="859">
        <v>313743744.06</v>
      </c>
      <c r="D37" s="859">
        <v>313743744.06</v>
      </c>
      <c r="F37" s="420">
        <v>313743744.06</v>
      </c>
      <c r="G37" s="833">
        <f t="shared" si="0"/>
        <v>0</v>
      </c>
    </row>
    <row r="38" spans="1:7">
      <c r="A38" s="858" t="s">
        <v>132</v>
      </c>
      <c r="B38" s="858" t="s">
        <v>984</v>
      </c>
      <c r="C38" s="859"/>
      <c r="D38" s="859"/>
      <c r="F38" s="420">
        <v>0</v>
      </c>
      <c r="G38" s="833">
        <f t="shared" si="0"/>
        <v>0</v>
      </c>
    </row>
    <row r="39" spans="1:7">
      <c r="A39" s="858" t="s">
        <v>133</v>
      </c>
      <c r="B39" s="858" t="s">
        <v>27</v>
      </c>
      <c r="C39" s="859">
        <v>93231922344.410004</v>
      </c>
      <c r="D39" s="859">
        <v>93231922344.410004</v>
      </c>
      <c r="F39" s="420">
        <v>93231922344.410004</v>
      </c>
      <c r="G39" s="833">
        <f t="shared" si="0"/>
        <v>0</v>
      </c>
    </row>
    <row r="40" spans="1:7">
      <c r="A40" s="858" t="s">
        <v>134</v>
      </c>
      <c r="B40" s="858" t="s">
        <v>28</v>
      </c>
      <c r="C40" s="859">
        <v>370936996.69999999</v>
      </c>
      <c r="D40" s="859">
        <v>370936996.69999999</v>
      </c>
      <c r="F40" s="420">
        <v>370936996.69999999</v>
      </c>
      <c r="G40" s="833">
        <f t="shared" si="0"/>
        <v>0</v>
      </c>
    </row>
    <row r="41" spans="1:7">
      <c r="A41" s="858" t="s">
        <v>135</v>
      </c>
      <c r="B41" s="858" t="s">
        <v>29</v>
      </c>
      <c r="C41" s="859"/>
      <c r="D41" s="859"/>
      <c r="F41" s="420">
        <v>0</v>
      </c>
      <c r="G41" s="833">
        <f t="shared" si="0"/>
        <v>0</v>
      </c>
    </row>
    <row r="42" spans="1:7">
      <c r="A42" s="858" t="s">
        <v>136</v>
      </c>
      <c r="B42" s="858" t="s">
        <v>30</v>
      </c>
      <c r="C42" s="859">
        <v>419428766.69999999</v>
      </c>
      <c r="D42" s="859">
        <v>419428766.69999999</v>
      </c>
      <c r="F42" s="420">
        <v>419428766.69999999</v>
      </c>
      <c r="G42" s="833">
        <f t="shared" si="0"/>
        <v>0</v>
      </c>
    </row>
    <row r="43" spans="1:7">
      <c r="A43" s="858" t="s">
        <v>137</v>
      </c>
      <c r="B43" s="858" t="s">
        <v>31</v>
      </c>
      <c r="C43" s="859"/>
      <c r="D43" s="859"/>
      <c r="F43" s="420">
        <v>0</v>
      </c>
      <c r="G43" s="833">
        <f t="shared" si="0"/>
        <v>0</v>
      </c>
    </row>
    <row r="44" spans="1:7">
      <c r="A44" s="858" t="s">
        <v>138</v>
      </c>
      <c r="B44" s="858" t="s">
        <v>32</v>
      </c>
      <c r="C44" s="859">
        <v>5591172756.3400002</v>
      </c>
      <c r="D44" s="859">
        <v>5591172756.3400002</v>
      </c>
      <c r="F44" s="420">
        <v>5591172756.3400002</v>
      </c>
      <c r="G44" s="833">
        <f t="shared" si="0"/>
        <v>0</v>
      </c>
    </row>
    <row r="45" spans="1:7" ht="39.6">
      <c r="A45" s="858" t="s">
        <v>139</v>
      </c>
      <c r="B45" s="860" t="s">
        <v>33</v>
      </c>
      <c r="C45" s="859"/>
      <c r="D45" s="859"/>
      <c r="F45" s="420">
        <v>0</v>
      </c>
      <c r="G45" s="833">
        <f t="shared" si="0"/>
        <v>0</v>
      </c>
    </row>
    <row r="46" spans="1:7">
      <c r="A46" s="858" t="s">
        <v>140</v>
      </c>
      <c r="B46" s="858"/>
      <c r="C46" s="859"/>
      <c r="D46" s="859"/>
      <c r="F46" s="420">
        <v>0</v>
      </c>
      <c r="G46" s="833">
        <f t="shared" si="0"/>
        <v>0</v>
      </c>
    </row>
    <row r="47" spans="1:7" s="419" customFormat="1" ht="13.8" thickBot="1">
      <c r="A47" s="861" t="s">
        <v>1000</v>
      </c>
      <c r="B47" s="861" t="s">
        <v>1001</v>
      </c>
      <c r="C47" s="862">
        <f>+SUM(C35:C46)</f>
        <v>102963489426.75999</v>
      </c>
      <c r="D47" s="862">
        <f>+SUM(D35:D46)</f>
        <v>102963489426.75999</v>
      </c>
      <c r="E47" s="421"/>
      <c r="F47" s="421">
        <v>102963489426.75999</v>
      </c>
      <c r="G47" s="833">
        <f t="shared" si="0"/>
        <v>0</v>
      </c>
    </row>
    <row r="48" spans="1:7" s="419" customFormat="1">
      <c r="A48" s="861" t="s">
        <v>952</v>
      </c>
      <c r="B48" s="861" t="s">
        <v>642</v>
      </c>
      <c r="C48" s="836"/>
      <c r="D48" s="836"/>
      <c r="E48" s="421"/>
      <c r="F48" s="421"/>
      <c r="G48" s="833">
        <f t="shared" si="0"/>
        <v>0</v>
      </c>
    </row>
    <row r="49" spans="1:7">
      <c r="A49" s="858" t="s">
        <v>34</v>
      </c>
      <c r="B49" s="858" t="s">
        <v>35</v>
      </c>
      <c r="C49" s="859">
        <v>4251282397.2800002</v>
      </c>
      <c r="D49" s="859">
        <v>4251282397.2800002</v>
      </c>
      <c r="F49" s="420">
        <v>4251282397.2800002</v>
      </c>
      <c r="G49" s="833">
        <f t="shared" si="0"/>
        <v>0</v>
      </c>
    </row>
    <row r="50" spans="1:7">
      <c r="A50" s="858" t="s">
        <v>36</v>
      </c>
      <c r="B50" s="858" t="s">
        <v>31</v>
      </c>
      <c r="C50" s="859"/>
      <c r="D50" s="859"/>
      <c r="F50" s="420">
        <v>0</v>
      </c>
      <c r="G50" s="833">
        <f t="shared" si="0"/>
        <v>0</v>
      </c>
    </row>
    <row r="51" spans="1:7">
      <c r="A51" s="858" t="s">
        <v>37</v>
      </c>
      <c r="B51" s="858" t="s">
        <v>38</v>
      </c>
      <c r="C51" s="859"/>
      <c r="D51" s="859"/>
      <c r="F51" s="420">
        <v>0</v>
      </c>
      <c r="G51" s="833">
        <f t="shared" si="0"/>
        <v>0</v>
      </c>
    </row>
    <row r="52" spans="1:7">
      <c r="A52" s="858" t="s">
        <v>39</v>
      </c>
      <c r="B52" s="858" t="s">
        <v>40</v>
      </c>
      <c r="C52" s="864">
        <v>4664699744.9499998</v>
      </c>
      <c r="D52" s="864">
        <v>4664699744.9499998</v>
      </c>
      <c r="F52" s="420">
        <v>4664699744.9499998</v>
      </c>
      <c r="G52" s="833">
        <f t="shared" si="0"/>
        <v>0</v>
      </c>
    </row>
    <row r="53" spans="1:7">
      <c r="A53" s="858" t="s">
        <v>41</v>
      </c>
      <c r="B53" s="858"/>
      <c r="C53" s="859"/>
      <c r="D53" s="859"/>
      <c r="G53" s="833">
        <f t="shared" si="0"/>
        <v>0</v>
      </c>
    </row>
    <row r="54" spans="1:7" s="419" customFormat="1">
      <c r="A54" s="861" t="s">
        <v>128</v>
      </c>
      <c r="B54" s="861" t="s">
        <v>1002</v>
      </c>
      <c r="C54" s="863">
        <f>SUM(C49:C53)</f>
        <v>8915982142.2299995</v>
      </c>
      <c r="D54" s="863">
        <f>SUM(D49:D53)</f>
        <v>8915982142.2299995</v>
      </c>
      <c r="E54" s="421"/>
      <c r="F54" s="421">
        <v>8915982142.2299995</v>
      </c>
      <c r="G54" s="833">
        <f t="shared" si="0"/>
        <v>0</v>
      </c>
    </row>
    <row r="55" spans="1:7" s="419" customFormat="1" ht="13.8" thickBot="1">
      <c r="A55" s="861" t="s">
        <v>953</v>
      </c>
      <c r="B55" s="861" t="s">
        <v>1003</v>
      </c>
      <c r="C55" s="862">
        <f>+C47+C54</f>
        <v>111879471568.98999</v>
      </c>
      <c r="D55" s="862">
        <f>+D47+D54</f>
        <v>111879471568.98999</v>
      </c>
      <c r="E55" s="421"/>
      <c r="F55" s="421">
        <v>111879471568.98999</v>
      </c>
      <c r="G55" s="833">
        <f t="shared" si="0"/>
        <v>0</v>
      </c>
    </row>
    <row r="56" spans="1:7" s="419" customFormat="1">
      <c r="A56" s="861" t="s">
        <v>954</v>
      </c>
      <c r="B56" s="861" t="s">
        <v>1004</v>
      </c>
      <c r="C56" s="836"/>
      <c r="D56" s="836"/>
      <c r="E56" s="421"/>
      <c r="F56" s="421"/>
      <c r="G56" s="833">
        <f t="shared" si="0"/>
        <v>0</v>
      </c>
    </row>
    <row r="57" spans="1:7">
      <c r="A57" s="858" t="s">
        <v>42</v>
      </c>
      <c r="B57" s="858" t="s">
        <v>172</v>
      </c>
      <c r="C57" s="859"/>
      <c r="D57" s="859"/>
      <c r="G57" s="833">
        <f t="shared" si="0"/>
        <v>0</v>
      </c>
    </row>
    <row r="58" spans="1:7">
      <c r="A58" s="858" t="s">
        <v>43</v>
      </c>
      <c r="B58" s="858" t="s">
        <v>44</v>
      </c>
      <c r="C58" s="859">
        <v>20160055367</v>
      </c>
      <c r="D58" s="859">
        <v>20160055367</v>
      </c>
      <c r="F58" s="420">
        <v>20160055367</v>
      </c>
      <c r="G58" s="833">
        <f t="shared" si="0"/>
        <v>0</v>
      </c>
    </row>
    <row r="59" spans="1:7">
      <c r="A59" s="858" t="s">
        <v>45</v>
      </c>
      <c r="B59" s="858" t="s">
        <v>46</v>
      </c>
      <c r="C59" s="859"/>
      <c r="D59" s="859"/>
      <c r="F59" s="420">
        <v>0</v>
      </c>
      <c r="G59" s="833">
        <f t="shared" si="0"/>
        <v>0</v>
      </c>
    </row>
    <row r="60" spans="1:7">
      <c r="A60" s="858" t="s">
        <v>47</v>
      </c>
      <c r="B60" s="858" t="s">
        <v>48</v>
      </c>
      <c r="C60" s="859"/>
      <c r="D60" s="859"/>
      <c r="F60" s="420">
        <v>0</v>
      </c>
      <c r="G60" s="833">
        <f t="shared" si="0"/>
        <v>0</v>
      </c>
    </row>
    <row r="61" spans="1:7">
      <c r="A61" s="858" t="s">
        <v>49</v>
      </c>
      <c r="B61" s="858" t="s">
        <v>50</v>
      </c>
      <c r="C61" s="859"/>
      <c r="D61" s="859"/>
      <c r="F61" s="420">
        <v>0</v>
      </c>
      <c r="G61" s="833">
        <f t="shared" si="0"/>
        <v>0</v>
      </c>
    </row>
    <row r="62" spans="1:7">
      <c r="A62" s="858" t="s">
        <v>51</v>
      </c>
      <c r="B62" s="858" t="s">
        <v>52</v>
      </c>
      <c r="C62" s="859">
        <v>6013584797.7800007</v>
      </c>
      <c r="D62" s="859">
        <v>6013584797.7800007</v>
      </c>
      <c r="F62" s="420">
        <v>6013584797.7800007</v>
      </c>
      <c r="G62" s="833">
        <f t="shared" si="0"/>
        <v>0</v>
      </c>
    </row>
    <row r="63" spans="1:7">
      <c r="A63" s="858" t="s">
        <v>53</v>
      </c>
      <c r="B63" s="858" t="s">
        <v>54</v>
      </c>
      <c r="C63" s="859"/>
      <c r="D63" s="859"/>
      <c r="F63" s="420">
        <v>0</v>
      </c>
      <c r="G63" s="833">
        <f t="shared" si="0"/>
        <v>0</v>
      </c>
    </row>
    <row r="64" spans="1:7">
      <c r="A64" s="858" t="s">
        <v>55</v>
      </c>
      <c r="B64" s="858" t="s">
        <v>56</v>
      </c>
      <c r="C64" s="859"/>
      <c r="D64" s="859"/>
      <c r="F64" s="420">
        <v>0</v>
      </c>
      <c r="G64" s="833">
        <f t="shared" si="0"/>
        <v>0</v>
      </c>
    </row>
    <row r="65" spans="1:7">
      <c r="A65" s="858" t="s">
        <v>57</v>
      </c>
      <c r="B65" s="858" t="s">
        <v>58</v>
      </c>
      <c r="C65" s="859">
        <v>-27022907470.549999</v>
      </c>
      <c r="D65" s="859">
        <v>-27022907470.549999</v>
      </c>
      <c r="F65" s="420">
        <v>-27014531379.09</v>
      </c>
      <c r="G65" s="833">
        <f t="shared" si="0"/>
        <v>8376091.4599990845</v>
      </c>
    </row>
    <row r="66" spans="1:7">
      <c r="A66" s="858" t="s">
        <v>59</v>
      </c>
      <c r="B66" s="858"/>
      <c r="C66" s="859"/>
      <c r="D66" s="859"/>
      <c r="G66" s="833">
        <f t="shared" si="0"/>
        <v>0</v>
      </c>
    </row>
    <row r="67" spans="1:7" s="419" customFormat="1" ht="13.8" thickBot="1">
      <c r="A67" s="861" t="s">
        <v>1005</v>
      </c>
      <c r="B67" s="861" t="s">
        <v>1006</v>
      </c>
      <c r="C67" s="862">
        <f>+SUM(C57:C66)</f>
        <v>-849267305.77000046</v>
      </c>
      <c r="D67" s="862">
        <f>+SUM(D57:D66)</f>
        <v>-849267305.77000046</v>
      </c>
      <c r="E67" s="421"/>
      <c r="F67" s="421">
        <v>-840891214.31000137</v>
      </c>
      <c r="G67" s="833">
        <f t="shared" si="0"/>
        <v>8376091.4599990845</v>
      </c>
    </row>
    <row r="68" spans="1:7" s="419" customFormat="1" ht="13.8" thickBot="1">
      <c r="A68" s="861" t="s">
        <v>955</v>
      </c>
      <c r="B68" s="861" t="s">
        <v>1007</v>
      </c>
      <c r="C68" s="837">
        <f>+C55+C67</f>
        <v>111030204263.21999</v>
      </c>
      <c r="D68" s="837">
        <f>+D55+D67</f>
        <v>111030204263.21999</v>
      </c>
      <c r="E68" s="421"/>
      <c r="F68" s="421">
        <v>111038580354.67999</v>
      </c>
      <c r="G68" s="833">
        <f t="shared" si="0"/>
        <v>8376091.4600067139</v>
      </c>
    </row>
    <row r="69" spans="1:7">
      <c r="C69" s="838">
        <f>+C31-C68</f>
        <v>-0.1699981689453125</v>
      </c>
      <c r="D69" s="839">
        <f>+D31-D68</f>
        <v>-0.1699981689453125</v>
      </c>
    </row>
    <row r="70" spans="1:7">
      <c r="B70" s="806" t="str">
        <f>+[2]nuur1!A19</f>
        <v xml:space="preserve">                                       Гүйцэтгэх  Захирал:        ________________                              /Ц.Баатарсайхан/</v>
      </c>
    </row>
    <row r="72" spans="1:7">
      <c r="B72" s="806" t="str">
        <f>+[2]nuur1!A21</f>
        <v xml:space="preserve">                                             СБУГ-ийн захирал:        ________________               /Г.Сэлэнгэ/</v>
      </c>
    </row>
  </sheetData>
  <mergeCells count="3">
    <mergeCell ref="A5:A6"/>
    <mergeCell ref="B5:B6"/>
    <mergeCell ref="C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O72"/>
  <sheetViews>
    <sheetView zoomScale="70" zoomScaleNormal="70" workbookViewId="0">
      <pane xSplit="2" ySplit="7" topLeftCell="C8" activePane="bottomRight" state="frozen"/>
      <selection pane="topRight" activeCell="C1" sqref="C1"/>
      <selection pane="bottomLeft" activeCell="A8" sqref="A8"/>
      <selection pane="bottomRight" activeCell="D9" sqref="D9"/>
    </sheetView>
  </sheetViews>
  <sheetFormatPr defaultColWidth="9.109375" defaultRowHeight="13.2"/>
  <cols>
    <col min="1" max="1" width="8" style="416" customWidth="1"/>
    <col min="2" max="2" width="46.33203125" style="416" customWidth="1"/>
    <col min="3" max="4" width="19" style="830" customWidth="1"/>
    <col min="5" max="5" width="17.77734375" style="420" customWidth="1"/>
    <col min="6" max="6" width="23" style="857" customWidth="1"/>
    <col min="7" max="8" width="4" style="416" customWidth="1"/>
    <col min="9" max="9" width="8" style="416" customWidth="1"/>
    <col min="10" max="10" width="46.33203125" style="416" customWidth="1"/>
    <col min="11" max="12" width="19" style="830" customWidth="1"/>
    <col min="13" max="13" width="9.109375" style="416"/>
    <col min="14" max="14" width="18.77734375" style="420" bestFit="1" customWidth="1"/>
    <col min="15" max="15" width="16.6640625" style="416" bestFit="1" customWidth="1"/>
    <col min="16" max="16384" width="9.109375" style="416"/>
  </cols>
  <sheetData>
    <row r="1" spans="1:12">
      <c r="A1" s="806"/>
      <c r="B1" s="416" t="s">
        <v>976</v>
      </c>
      <c r="C1" s="826"/>
      <c r="D1" s="826"/>
      <c r="E1" s="841"/>
      <c r="I1" s="806"/>
      <c r="J1" s="416" t="s">
        <v>976</v>
      </c>
      <c r="K1" s="826"/>
      <c r="L1" s="826"/>
    </row>
    <row r="3" spans="1:12">
      <c r="A3" s="827" t="str">
        <f>+balance!A3</f>
        <v>"ГОВЬ" ХК-ийн</v>
      </c>
      <c r="C3" s="828"/>
      <c r="D3" s="829" t="str">
        <f>+[2]nuur1!A7</f>
        <v>2019  оны  06  сарын 30 өдөр</v>
      </c>
      <c r="I3" s="827" t="str">
        <f>+A3</f>
        <v>"ГОВЬ" ХК-ийн</v>
      </c>
      <c r="K3" s="828"/>
      <c r="L3" s="829" t="str">
        <f>+D3</f>
        <v>2019  оны  06  сарын 30 өдөр</v>
      </c>
    </row>
    <row r="4" spans="1:12">
      <c r="A4" s="416" t="s">
        <v>0</v>
      </c>
      <c r="D4" s="829" t="s">
        <v>1</v>
      </c>
      <c r="I4" s="416" t="s">
        <v>0</v>
      </c>
      <c r="L4" s="829" t="s">
        <v>1</v>
      </c>
    </row>
    <row r="5" spans="1:12">
      <c r="A5" s="962" t="s">
        <v>4</v>
      </c>
      <c r="B5" s="963" t="s">
        <v>5</v>
      </c>
      <c r="C5" s="964" t="s">
        <v>6</v>
      </c>
      <c r="D5" s="964"/>
      <c r="F5" s="857" t="s">
        <v>1407</v>
      </c>
      <c r="I5" s="962" t="s">
        <v>4</v>
      </c>
      <c r="J5" s="963" t="s">
        <v>5</v>
      </c>
      <c r="K5" s="964" t="s">
        <v>6</v>
      </c>
      <c r="L5" s="964"/>
    </row>
    <row r="6" spans="1:12">
      <c r="A6" s="958"/>
      <c r="B6" s="960"/>
      <c r="C6" s="856" t="s">
        <v>161</v>
      </c>
      <c r="D6" s="856" t="s">
        <v>1405</v>
      </c>
      <c r="I6" s="958"/>
      <c r="J6" s="960"/>
      <c r="K6" s="856" t="s">
        <v>161</v>
      </c>
      <c r="L6" s="856" t="s">
        <v>1405</v>
      </c>
    </row>
    <row r="7" spans="1:12">
      <c r="A7" s="858" t="s">
        <v>977</v>
      </c>
      <c r="B7" s="858" t="s">
        <v>978</v>
      </c>
      <c r="C7" s="859"/>
      <c r="D7" s="859"/>
      <c r="I7" s="858" t="s">
        <v>977</v>
      </c>
      <c r="J7" s="858" t="s">
        <v>978</v>
      </c>
      <c r="K7" s="859"/>
      <c r="L7" s="859"/>
    </row>
    <row r="8" spans="1:12">
      <c r="A8" s="858" t="s">
        <v>150</v>
      </c>
      <c r="B8" s="858" t="s">
        <v>7</v>
      </c>
      <c r="C8" s="859"/>
      <c r="D8" s="859"/>
      <c r="I8" s="858" t="s">
        <v>150</v>
      </c>
      <c r="J8" s="858" t="s">
        <v>7</v>
      </c>
      <c r="K8" s="859"/>
      <c r="L8" s="859"/>
    </row>
    <row r="9" spans="1:12">
      <c r="A9" s="858" t="s">
        <v>151</v>
      </c>
      <c r="B9" s="858" t="s">
        <v>8</v>
      </c>
      <c r="C9" s="859">
        <f>+balance!C9</f>
        <v>4389479081.5796995</v>
      </c>
      <c r="D9" s="859">
        <f>+'Balanc GOYO'!D9+balance!D9</f>
        <v>9044251563.1924</v>
      </c>
      <c r="G9" s="833"/>
      <c r="I9" s="858" t="s">
        <v>151</v>
      </c>
      <c r="J9" s="858" t="s">
        <v>8</v>
      </c>
      <c r="K9" s="859">
        <f>+C9</f>
        <v>4389479081.5796995</v>
      </c>
      <c r="L9" s="859">
        <f>+D9+F9</f>
        <v>9044251563.1924</v>
      </c>
    </row>
    <row r="10" spans="1:12">
      <c r="A10" s="858" t="s">
        <v>152</v>
      </c>
      <c r="B10" s="858" t="s">
        <v>9</v>
      </c>
      <c r="C10" s="859">
        <f>+balance!C10</f>
        <v>590467242.35512948</v>
      </c>
      <c r="D10" s="859">
        <f>+'Balanc GOYO'!D10+balance!D10</f>
        <v>1389646643.3407998</v>
      </c>
      <c r="G10" s="833"/>
      <c r="I10" s="858" t="s">
        <v>152</v>
      </c>
      <c r="J10" s="858" t="s">
        <v>9</v>
      </c>
      <c r="K10" s="859">
        <f t="shared" ref="K10:K18" si="0">+C10</f>
        <v>590467242.35512948</v>
      </c>
      <c r="L10" s="859">
        <f t="shared" ref="L10:L18" si="1">+D10+F10</f>
        <v>1389646643.3407998</v>
      </c>
    </row>
    <row r="11" spans="1:12">
      <c r="A11" s="858" t="s">
        <v>153</v>
      </c>
      <c r="B11" s="858" t="s">
        <v>979</v>
      </c>
      <c r="C11" s="859">
        <f>+balance!C11</f>
        <v>933376629.47749984</v>
      </c>
      <c r="D11" s="859">
        <f>+'Balanc GOYO'!D11+balance!D11</f>
        <v>1621604198.4499998</v>
      </c>
      <c r="G11" s="833"/>
      <c r="I11" s="858" t="s">
        <v>153</v>
      </c>
      <c r="J11" s="858" t="s">
        <v>979</v>
      </c>
      <c r="K11" s="859">
        <f t="shared" si="0"/>
        <v>933376629.47749984</v>
      </c>
      <c r="L11" s="859">
        <f t="shared" si="1"/>
        <v>1621604198.4499998</v>
      </c>
    </row>
    <row r="12" spans="1:12">
      <c r="A12" s="858" t="s">
        <v>154</v>
      </c>
      <c r="B12" s="858" t="s">
        <v>10</v>
      </c>
      <c r="C12" s="859">
        <f>+balance!C12</f>
        <v>734284950.72781515</v>
      </c>
      <c r="D12" s="859">
        <f>+'Balanc GOYO'!D12+balance!D12</f>
        <v>734449226.26000094</v>
      </c>
      <c r="F12" s="857">
        <v>-2123360227.0599999</v>
      </c>
      <c r="G12" s="833"/>
      <c r="I12" s="858" t="s">
        <v>154</v>
      </c>
      <c r="J12" s="858" t="s">
        <v>10</v>
      </c>
      <c r="K12" s="859">
        <f t="shared" si="0"/>
        <v>734284950.72781515</v>
      </c>
      <c r="L12" s="859">
        <f t="shared" si="1"/>
        <v>-1388911000.799999</v>
      </c>
    </row>
    <row r="13" spans="1:12">
      <c r="A13" s="858" t="s">
        <v>155</v>
      </c>
      <c r="B13" s="858" t="s">
        <v>11</v>
      </c>
      <c r="C13" s="859">
        <f>+balance!C13</f>
        <v>0</v>
      </c>
      <c r="D13" s="859">
        <f>+'Balanc GOYO'!D13+balance!D13</f>
        <v>0</v>
      </c>
      <c r="G13" s="833"/>
      <c r="I13" s="858" t="s">
        <v>155</v>
      </c>
      <c r="J13" s="858" t="s">
        <v>11</v>
      </c>
      <c r="K13" s="859">
        <f t="shared" si="0"/>
        <v>0</v>
      </c>
      <c r="L13" s="859">
        <f t="shared" si="1"/>
        <v>0</v>
      </c>
    </row>
    <row r="14" spans="1:12">
      <c r="A14" s="858" t="s">
        <v>156</v>
      </c>
      <c r="B14" s="858" t="s">
        <v>12</v>
      </c>
      <c r="C14" s="859">
        <f>+balance!C14</f>
        <v>138030372093.22803</v>
      </c>
      <c r="D14" s="859">
        <f>+'Balanc GOYO'!D14+balance!D14</f>
        <v>192526570709.98135</v>
      </c>
      <c r="G14" s="833"/>
      <c r="I14" s="858" t="s">
        <v>156</v>
      </c>
      <c r="J14" s="858" t="s">
        <v>12</v>
      </c>
      <c r="K14" s="859">
        <f t="shared" si="0"/>
        <v>138030372093.22803</v>
      </c>
      <c r="L14" s="859">
        <f t="shared" si="1"/>
        <v>192526570709.98135</v>
      </c>
    </row>
    <row r="15" spans="1:12">
      <c r="A15" s="858" t="s">
        <v>157</v>
      </c>
      <c r="B15" s="858" t="s">
        <v>13</v>
      </c>
      <c r="C15" s="859">
        <f>+balance!C15</f>
        <v>3127756708.1282043</v>
      </c>
      <c r="D15" s="859">
        <f>+'Balanc GOYO'!D15+balance!D15</f>
        <v>5046977514.225214</v>
      </c>
      <c r="G15" s="833"/>
      <c r="I15" s="858" t="s">
        <v>157</v>
      </c>
      <c r="J15" s="858" t="s">
        <v>13</v>
      </c>
      <c r="K15" s="859">
        <f t="shared" si="0"/>
        <v>3127756708.1282043</v>
      </c>
      <c r="L15" s="859">
        <f t="shared" si="1"/>
        <v>5046977514.225214</v>
      </c>
    </row>
    <row r="16" spans="1:12">
      <c r="A16" s="858" t="s">
        <v>158</v>
      </c>
      <c r="B16" s="858" t="s">
        <v>14</v>
      </c>
      <c r="C16" s="859">
        <f>+balance!C16</f>
        <v>0</v>
      </c>
      <c r="D16" s="859">
        <f>+'Balanc GOYO'!D16+balance!D16</f>
        <v>0</v>
      </c>
      <c r="F16" s="857" t="e">
        <f>-#REF!</f>
        <v>#REF!</v>
      </c>
      <c r="G16" s="833"/>
      <c r="I16" s="858" t="s">
        <v>158</v>
      </c>
      <c r="J16" s="858" t="s">
        <v>14</v>
      </c>
      <c r="K16" s="859">
        <f t="shared" si="0"/>
        <v>0</v>
      </c>
      <c r="L16" s="859" t="e">
        <f t="shared" si="1"/>
        <v>#REF!</v>
      </c>
    </row>
    <row r="17" spans="1:14" ht="26.4">
      <c r="A17" s="858" t="s">
        <v>159</v>
      </c>
      <c r="B17" s="860" t="s">
        <v>15</v>
      </c>
      <c r="C17" s="859">
        <f>+balance!C17</f>
        <v>0</v>
      </c>
      <c r="D17" s="859">
        <f>+'Balanc GOYO'!D17+balance!D17</f>
        <v>0</v>
      </c>
      <c r="G17" s="833"/>
      <c r="I17" s="858" t="s">
        <v>159</v>
      </c>
      <c r="J17" s="860" t="s">
        <v>15</v>
      </c>
      <c r="K17" s="859">
        <f t="shared" si="0"/>
        <v>0</v>
      </c>
      <c r="L17" s="859">
        <f t="shared" si="1"/>
        <v>0</v>
      </c>
    </row>
    <row r="18" spans="1:14">
      <c r="A18" s="858" t="s">
        <v>160</v>
      </c>
      <c r="B18" s="858"/>
      <c r="C18" s="859"/>
      <c r="D18" s="859"/>
      <c r="G18" s="833"/>
      <c r="I18" s="858" t="s">
        <v>160</v>
      </c>
      <c r="J18" s="858"/>
      <c r="K18" s="859">
        <f t="shared" si="0"/>
        <v>0</v>
      </c>
      <c r="L18" s="859">
        <f t="shared" si="1"/>
        <v>0</v>
      </c>
    </row>
    <row r="19" spans="1:14" s="419" customFormat="1" ht="13.8" thickBot="1">
      <c r="A19" s="861" t="s">
        <v>996</v>
      </c>
      <c r="B19" s="861" t="s">
        <v>997</v>
      </c>
      <c r="C19" s="862">
        <f>+SUM(C8:C18)</f>
        <v>147805736705.49637</v>
      </c>
      <c r="D19" s="862">
        <f>+SUM(D8:D18)</f>
        <v>210363499855.44977</v>
      </c>
      <c r="E19" s="421"/>
      <c r="F19" s="865" t="e">
        <f>SUM(F8:F17)</f>
        <v>#REF!</v>
      </c>
      <c r="G19" s="833"/>
      <c r="I19" s="861" t="s">
        <v>996</v>
      </c>
      <c r="J19" s="861" t="s">
        <v>997</v>
      </c>
      <c r="K19" s="862">
        <f>+SUM(K8:K18)</f>
        <v>147805736705.49637</v>
      </c>
      <c r="L19" s="862" t="e">
        <f>+SUM(L8:L18)</f>
        <v>#REF!</v>
      </c>
      <c r="N19" s="421"/>
    </row>
    <row r="20" spans="1:14" s="419" customFormat="1">
      <c r="A20" s="861" t="s">
        <v>948</v>
      </c>
      <c r="B20" s="861" t="s">
        <v>577</v>
      </c>
      <c r="C20" s="836"/>
      <c r="D20" s="836"/>
      <c r="E20" s="421"/>
      <c r="F20" s="865"/>
      <c r="G20" s="833"/>
      <c r="I20" s="861" t="s">
        <v>948</v>
      </c>
      <c r="J20" s="861" t="s">
        <v>577</v>
      </c>
      <c r="K20" s="836"/>
      <c r="L20" s="836"/>
      <c r="N20" s="421"/>
    </row>
    <row r="21" spans="1:14">
      <c r="A21" s="858" t="s">
        <v>141</v>
      </c>
      <c r="B21" s="858" t="s">
        <v>16</v>
      </c>
      <c r="C21" s="859">
        <f>+balance!C21</f>
        <v>136177639108.59001</v>
      </c>
      <c r="D21" s="859">
        <f>+'Balanc GOYO'!D21+balance!D21</f>
        <v>178555962283.69824</v>
      </c>
      <c r="G21" s="833"/>
      <c r="I21" s="858" t="s">
        <v>141</v>
      </c>
      <c r="J21" s="858" t="s">
        <v>16</v>
      </c>
      <c r="K21" s="859">
        <f t="shared" ref="K21:K29" si="2">+C21</f>
        <v>136177639108.59001</v>
      </c>
      <c r="L21" s="859">
        <f t="shared" ref="L21:L29" si="3">+D21+F21</f>
        <v>178555962283.69824</v>
      </c>
    </row>
    <row r="22" spans="1:14">
      <c r="A22" s="858" t="s">
        <v>142</v>
      </c>
      <c r="B22" s="858" t="s">
        <v>17</v>
      </c>
      <c r="C22" s="859">
        <f>+balance!C22</f>
        <v>1765331666.6108403</v>
      </c>
      <c r="D22" s="859">
        <f>+'Balanc GOYO'!D22+balance!D22</f>
        <v>1246966809.1566014</v>
      </c>
      <c r="G22" s="833"/>
      <c r="I22" s="858" t="s">
        <v>142</v>
      </c>
      <c r="J22" s="858" t="s">
        <v>17</v>
      </c>
      <c r="K22" s="859">
        <f t="shared" si="2"/>
        <v>1765331666.6108403</v>
      </c>
      <c r="L22" s="859">
        <f t="shared" si="3"/>
        <v>1246966809.1566014</v>
      </c>
    </row>
    <row r="23" spans="1:14">
      <c r="A23" s="858" t="s">
        <v>143</v>
      </c>
      <c r="B23" s="858" t="s">
        <v>18</v>
      </c>
      <c r="C23" s="859">
        <f>+balance!C23</f>
        <v>0</v>
      </c>
      <c r="D23" s="859">
        <f>+'Balanc GOYO'!D23+balance!D23</f>
        <v>0</v>
      </c>
      <c r="G23" s="833"/>
      <c r="I23" s="858" t="s">
        <v>143</v>
      </c>
      <c r="J23" s="858" t="s">
        <v>18</v>
      </c>
      <c r="K23" s="859">
        <f t="shared" si="2"/>
        <v>0</v>
      </c>
      <c r="L23" s="859">
        <f t="shared" si="3"/>
        <v>0</v>
      </c>
    </row>
    <row r="24" spans="1:14">
      <c r="A24" s="858" t="s">
        <v>144</v>
      </c>
      <c r="B24" s="858" t="s">
        <v>19</v>
      </c>
      <c r="C24" s="859">
        <f>+balance!C24</f>
        <v>0</v>
      </c>
      <c r="D24" s="859">
        <f>+'Balanc GOYO'!D24+balance!D24</f>
        <v>0</v>
      </c>
      <c r="G24" s="833"/>
      <c r="I24" s="858" t="s">
        <v>144</v>
      </c>
      <c r="J24" s="858" t="s">
        <v>19</v>
      </c>
      <c r="K24" s="859">
        <f t="shared" si="2"/>
        <v>0</v>
      </c>
      <c r="L24" s="859">
        <f t="shared" si="3"/>
        <v>0</v>
      </c>
    </row>
    <row r="25" spans="1:14">
      <c r="A25" s="858" t="s">
        <v>145</v>
      </c>
      <c r="B25" s="858" t="s">
        <v>20</v>
      </c>
      <c r="C25" s="859">
        <f>+balance!C25</f>
        <v>0</v>
      </c>
      <c r="D25" s="859">
        <f>+'Balanc GOYO'!D25+balance!D25</f>
        <v>0</v>
      </c>
      <c r="G25" s="833"/>
      <c r="I25" s="858" t="s">
        <v>145</v>
      </c>
      <c r="J25" s="858" t="s">
        <v>20</v>
      </c>
      <c r="K25" s="859">
        <f t="shared" si="2"/>
        <v>0</v>
      </c>
      <c r="L25" s="859">
        <f t="shared" si="3"/>
        <v>0</v>
      </c>
    </row>
    <row r="26" spans="1:14">
      <c r="A26" s="858" t="s">
        <v>146</v>
      </c>
      <c r="B26" s="858" t="s">
        <v>21</v>
      </c>
      <c r="C26" s="859">
        <f>+balance!C26</f>
        <v>4325580906.21</v>
      </c>
      <c r="D26" s="859">
        <f>+'Balanc GOYO'!D26+balance!D26</f>
        <v>15364664120.699999</v>
      </c>
      <c r="G26" s="833"/>
      <c r="I26" s="858" t="s">
        <v>146</v>
      </c>
      <c r="J26" s="858" t="s">
        <v>21</v>
      </c>
      <c r="K26" s="859">
        <f t="shared" si="2"/>
        <v>4325580906.21</v>
      </c>
      <c r="L26" s="859">
        <f t="shared" si="3"/>
        <v>15364664120.699999</v>
      </c>
    </row>
    <row r="27" spans="1:14" ht="26.4">
      <c r="A27" s="858" t="s">
        <v>147</v>
      </c>
      <c r="B27" s="860" t="s">
        <v>22</v>
      </c>
      <c r="C27" s="859">
        <f>+balance!C27</f>
        <v>9226893632.9300003</v>
      </c>
      <c r="D27" s="859">
        <f>+'Balanc GOYO'!D27+balance!D27</f>
        <v>18368435.370000001</v>
      </c>
      <c r="G27" s="833"/>
      <c r="I27" s="858" t="s">
        <v>147</v>
      </c>
      <c r="J27" s="860" t="s">
        <v>22</v>
      </c>
      <c r="K27" s="859">
        <f t="shared" si="2"/>
        <v>9226893632.9300003</v>
      </c>
      <c r="L27" s="859">
        <f t="shared" si="3"/>
        <v>18368435.370000001</v>
      </c>
    </row>
    <row r="28" spans="1:14">
      <c r="A28" s="858" t="s">
        <v>148</v>
      </c>
      <c r="B28" s="858" t="s">
        <v>23</v>
      </c>
      <c r="C28" s="859">
        <f>+balance!C28</f>
        <v>557284710.23389995</v>
      </c>
      <c r="D28" s="859">
        <f>+'Balanc GOYO'!D28+balance!D28</f>
        <v>3592909527.2220006</v>
      </c>
      <c r="G28" s="833"/>
      <c r="I28" s="858" t="s">
        <v>148</v>
      </c>
      <c r="J28" s="858" t="s">
        <v>23</v>
      </c>
      <c r="K28" s="859">
        <f t="shared" si="2"/>
        <v>557284710.23389995</v>
      </c>
      <c r="L28" s="859">
        <f t="shared" si="3"/>
        <v>3592909527.2220006</v>
      </c>
    </row>
    <row r="29" spans="1:14">
      <c r="A29" s="858" t="s">
        <v>149</v>
      </c>
      <c r="B29" s="858"/>
      <c r="C29" s="859">
        <f>+balance!C29</f>
        <v>0</v>
      </c>
      <c r="D29" s="859">
        <f>+'Balanc GOYO'!D29+balance!D29</f>
        <v>0</v>
      </c>
      <c r="G29" s="833"/>
      <c r="I29" s="858" t="s">
        <v>149</v>
      </c>
      <c r="J29" s="858"/>
      <c r="K29" s="859">
        <f t="shared" si="2"/>
        <v>0</v>
      </c>
      <c r="L29" s="859">
        <f t="shared" si="3"/>
        <v>0</v>
      </c>
    </row>
    <row r="30" spans="1:14" s="419" customFormat="1">
      <c r="A30" s="861" t="s">
        <v>998</v>
      </c>
      <c r="B30" s="861" t="s">
        <v>974</v>
      </c>
      <c r="C30" s="863">
        <f>SUM(C21:C29)</f>
        <v>152052730024.57474</v>
      </c>
      <c r="D30" s="863">
        <f>SUM(D21:D29)</f>
        <v>198778871176.14688</v>
      </c>
      <c r="E30" s="421"/>
      <c r="F30" s="865"/>
      <c r="G30" s="833"/>
      <c r="I30" s="861" t="s">
        <v>998</v>
      </c>
      <c r="J30" s="861" t="s">
        <v>974</v>
      </c>
      <c r="K30" s="863">
        <f>SUM(K21:K29)</f>
        <v>152052730024.57474</v>
      </c>
      <c r="L30" s="863">
        <f>SUM(L21:L29)</f>
        <v>198778871176.14688</v>
      </c>
      <c r="N30" s="421"/>
    </row>
    <row r="31" spans="1:14" s="419" customFormat="1" ht="13.8" thickBot="1">
      <c r="A31" s="861" t="s">
        <v>949</v>
      </c>
      <c r="B31" s="861" t="s">
        <v>975</v>
      </c>
      <c r="C31" s="837">
        <f>+C19+C30</f>
        <v>299858466730.07111</v>
      </c>
      <c r="D31" s="837">
        <f>+D19+D30</f>
        <v>409142371031.59668</v>
      </c>
      <c r="E31" s="421"/>
      <c r="F31" s="865" t="e">
        <f>+F30+F19</f>
        <v>#REF!</v>
      </c>
      <c r="G31" s="833"/>
      <c r="I31" s="861" t="s">
        <v>949</v>
      </c>
      <c r="J31" s="861" t="s">
        <v>975</v>
      </c>
      <c r="K31" s="837">
        <f>+K19+K30</f>
        <v>299858466730.07111</v>
      </c>
      <c r="L31" s="837" t="e">
        <f>+L19+L30</f>
        <v>#REF!</v>
      </c>
      <c r="N31" s="421"/>
    </row>
    <row r="32" spans="1:14" s="419" customFormat="1">
      <c r="A32" s="861" t="s">
        <v>950</v>
      </c>
      <c r="B32" s="861" t="s">
        <v>999</v>
      </c>
      <c r="C32" s="836"/>
      <c r="D32" s="836"/>
      <c r="E32" s="421"/>
      <c r="F32" s="865"/>
      <c r="G32" s="833"/>
      <c r="I32" s="861" t="s">
        <v>950</v>
      </c>
      <c r="J32" s="861" t="s">
        <v>999</v>
      </c>
      <c r="K32" s="836"/>
      <c r="L32" s="836"/>
      <c r="N32" s="421"/>
    </row>
    <row r="33" spans="1:14">
      <c r="A33" s="858" t="s">
        <v>980</v>
      </c>
      <c r="B33" s="858" t="s">
        <v>981</v>
      </c>
      <c r="C33" s="859"/>
      <c r="D33" s="859"/>
      <c r="G33" s="833"/>
      <c r="I33" s="858" t="s">
        <v>980</v>
      </c>
      <c r="J33" s="858" t="s">
        <v>981</v>
      </c>
      <c r="K33" s="859"/>
      <c r="L33" s="859"/>
    </row>
    <row r="34" spans="1:14">
      <c r="A34" s="858" t="s">
        <v>982</v>
      </c>
      <c r="B34" s="858" t="s">
        <v>983</v>
      </c>
      <c r="C34" s="859"/>
      <c r="D34" s="859"/>
      <c r="G34" s="833"/>
      <c r="I34" s="858" t="s">
        <v>982</v>
      </c>
      <c r="J34" s="858" t="s">
        <v>983</v>
      </c>
      <c r="K34" s="859"/>
      <c r="L34" s="859"/>
    </row>
    <row r="35" spans="1:14">
      <c r="A35" s="858" t="s">
        <v>129</v>
      </c>
      <c r="B35" s="858" t="s">
        <v>24</v>
      </c>
      <c r="C35" s="859">
        <f>+balance!C35</f>
        <v>870177368.41690183</v>
      </c>
      <c r="D35" s="859">
        <f>+'Balanc GOYO'!D35+balance!D35</f>
        <v>16323863589.622713</v>
      </c>
      <c r="F35" s="857">
        <f>+F12</f>
        <v>-2123360227.0599999</v>
      </c>
      <c r="G35" s="833"/>
      <c r="I35" s="858" t="s">
        <v>129</v>
      </c>
      <c r="J35" s="858" t="s">
        <v>24</v>
      </c>
      <c r="K35" s="859">
        <f t="shared" ref="K35:K46" si="4">+C35</f>
        <v>870177368.41690183</v>
      </c>
      <c r="L35" s="859">
        <f t="shared" ref="L35:L46" si="5">+D35+F35</f>
        <v>14200503362.562714</v>
      </c>
    </row>
    <row r="36" spans="1:14">
      <c r="A36" s="858" t="s">
        <v>130</v>
      </c>
      <c r="B36" s="858" t="s">
        <v>25</v>
      </c>
      <c r="C36" s="859">
        <f>+balance!C36</f>
        <v>1292522885.0970001</v>
      </c>
      <c r="D36" s="859">
        <f>+'Balanc GOYO'!D36+balance!D36</f>
        <v>2329375423.4499998</v>
      </c>
      <c r="G36" s="833"/>
      <c r="I36" s="858" t="s">
        <v>130</v>
      </c>
      <c r="J36" s="858" t="s">
        <v>25</v>
      </c>
      <c r="K36" s="859">
        <f t="shared" si="4"/>
        <v>1292522885.0970001</v>
      </c>
      <c r="L36" s="859">
        <f t="shared" si="5"/>
        <v>2329375423.4499998</v>
      </c>
    </row>
    <row r="37" spans="1:14">
      <c r="A37" s="858" t="s">
        <v>131</v>
      </c>
      <c r="B37" s="858" t="s">
        <v>26</v>
      </c>
      <c r="C37" s="859">
        <f>+balance!C37</f>
        <v>2177080282.5440998</v>
      </c>
      <c r="D37" s="859">
        <f>+'Balanc GOYO'!D37+balance!D37</f>
        <v>7918927513.1580935</v>
      </c>
      <c r="G37" s="833"/>
      <c r="I37" s="858" t="s">
        <v>131</v>
      </c>
      <c r="J37" s="858" t="s">
        <v>26</v>
      </c>
      <c r="K37" s="859">
        <f t="shared" si="4"/>
        <v>2177080282.5440998</v>
      </c>
      <c r="L37" s="859">
        <f t="shared" si="5"/>
        <v>7918927513.1580935</v>
      </c>
    </row>
    <row r="38" spans="1:14">
      <c r="A38" s="858" t="s">
        <v>132</v>
      </c>
      <c r="B38" s="858" t="s">
        <v>984</v>
      </c>
      <c r="C38" s="859">
        <f>+balance!C38</f>
        <v>0</v>
      </c>
      <c r="D38" s="859">
        <f>+'Balanc GOYO'!D38+balance!D38</f>
        <v>0</v>
      </c>
      <c r="G38" s="833"/>
      <c r="I38" s="858" t="s">
        <v>132</v>
      </c>
      <c r="J38" s="858" t="s">
        <v>984</v>
      </c>
      <c r="K38" s="859">
        <f t="shared" si="4"/>
        <v>0</v>
      </c>
      <c r="L38" s="859">
        <f t="shared" si="5"/>
        <v>0</v>
      </c>
    </row>
    <row r="39" spans="1:14">
      <c r="A39" s="858" t="s">
        <v>133</v>
      </c>
      <c r="B39" s="858" t="s">
        <v>27</v>
      </c>
      <c r="C39" s="859">
        <f>+balance!C39</f>
        <v>150436948158.08801</v>
      </c>
      <c r="D39" s="859">
        <f>+'Balanc GOYO'!D39+balance!D39</f>
        <v>220993970294.75</v>
      </c>
      <c r="G39" s="833"/>
      <c r="I39" s="858" t="s">
        <v>133</v>
      </c>
      <c r="J39" s="858" t="s">
        <v>27</v>
      </c>
      <c r="K39" s="859">
        <f t="shared" si="4"/>
        <v>150436948158.08801</v>
      </c>
      <c r="L39" s="859">
        <f t="shared" si="5"/>
        <v>220993970294.75</v>
      </c>
    </row>
    <row r="40" spans="1:14">
      <c r="A40" s="858" t="s">
        <v>134</v>
      </c>
      <c r="B40" s="858" t="s">
        <v>28</v>
      </c>
      <c r="C40" s="859">
        <f>+balance!C40</f>
        <v>1899860719.1100001</v>
      </c>
      <c r="D40" s="859">
        <f>+'Balanc GOYO'!D40+balance!D40</f>
        <v>2462506011.1899996</v>
      </c>
      <c r="G40" s="833"/>
      <c r="I40" s="858" t="s">
        <v>134</v>
      </c>
      <c r="J40" s="858" t="s">
        <v>28</v>
      </c>
      <c r="K40" s="859">
        <f t="shared" si="4"/>
        <v>1899860719.1100001</v>
      </c>
      <c r="L40" s="859">
        <f t="shared" si="5"/>
        <v>2462506011.1899996</v>
      </c>
    </row>
    <row r="41" spans="1:14">
      <c r="A41" s="858" t="s">
        <v>135</v>
      </c>
      <c r="B41" s="858" t="s">
        <v>29</v>
      </c>
      <c r="C41" s="859">
        <f>+balance!C41</f>
        <v>166932630.83000001</v>
      </c>
      <c r="D41" s="859">
        <f>+'Balanc GOYO'!D41+balance!D41</f>
        <v>166685462.43000001</v>
      </c>
      <c r="G41" s="833"/>
      <c r="I41" s="858" t="s">
        <v>135</v>
      </c>
      <c r="J41" s="858" t="s">
        <v>29</v>
      </c>
      <c r="K41" s="859">
        <f t="shared" si="4"/>
        <v>166932630.83000001</v>
      </c>
      <c r="L41" s="859">
        <f t="shared" si="5"/>
        <v>166685462.43000001</v>
      </c>
    </row>
    <row r="42" spans="1:14">
      <c r="A42" s="858" t="s">
        <v>136</v>
      </c>
      <c r="B42" s="858" t="s">
        <v>30</v>
      </c>
      <c r="C42" s="859">
        <f>+balance!C42</f>
        <v>1370281253.5842001</v>
      </c>
      <c r="D42" s="859">
        <f>+'Balanc GOYO'!D42+balance!D42</f>
        <v>2403326378.2778001</v>
      </c>
      <c r="G42" s="833"/>
      <c r="I42" s="858" t="s">
        <v>136</v>
      </c>
      <c r="J42" s="858" t="s">
        <v>30</v>
      </c>
      <c r="K42" s="859">
        <f t="shared" si="4"/>
        <v>1370281253.5842001</v>
      </c>
      <c r="L42" s="859">
        <f t="shared" si="5"/>
        <v>2403326378.2778001</v>
      </c>
    </row>
    <row r="43" spans="1:14">
      <c r="A43" s="858" t="s">
        <v>137</v>
      </c>
      <c r="B43" s="858" t="s">
        <v>31</v>
      </c>
      <c r="C43" s="859">
        <f>+balance!C43</f>
        <v>0</v>
      </c>
      <c r="D43" s="859">
        <f>+'Balanc GOYO'!D43+balance!D43</f>
        <v>0</v>
      </c>
      <c r="G43" s="833"/>
      <c r="I43" s="858" t="s">
        <v>137</v>
      </c>
      <c r="J43" s="858" t="s">
        <v>31</v>
      </c>
      <c r="K43" s="859">
        <f t="shared" si="4"/>
        <v>0</v>
      </c>
      <c r="L43" s="859">
        <f t="shared" si="5"/>
        <v>0</v>
      </c>
    </row>
    <row r="44" spans="1:14">
      <c r="A44" s="858" t="s">
        <v>138</v>
      </c>
      <c r="B44" s="858" t="s">
        <v>32</v>
      </c>
      <c r="C44" s="859">
        <f>+balance!C44</f>
        <v>12502986772.503077</v>
      </c>
      <c r="D44" s="859">
        <f>+'Balanc GOYO'!D44+balance!D44</f>
        <v>7659158548.9724379</v>
      </c>
      <c r="G44" s="833"/>
      <c r="I44" s="858" t="s">
        <v>138</v>
      </c>
      <c r="J44" s="858" t="s">
        <v>32</v>
      </c>
      <c r="K44" s="859">
        <f t="shared" si="4"/>
        <v>12502986772.503077</v>
      </c>
      <c r="L44" s="859">
        <f t="shared" si="5"/>
        <v>7659158548.9724379</v>
      </c>
    </row>
    <row r="45" spans="1:14" ht="39.6">
      <c r="A45" s="858" t="s">
        <v>139</v>
      </c>
      <c r="B45" s="860" t="s">
        <v>33</v>
      </c>
      <c r="C45" s="859">
        <f>+balance!C45</f>
        <v>0</v>
      </c>
      <c r="D45" s="859">
        <f>+'Balanc GOYO'!D45+balance!D45</f>
        <v>0</v>
      </c>
      <c r="G45" s="833"/>
      <c r="I45" s="858" t="s">
        <v>139</v>
      </c>
      <c r="J45" s="860" t="s">
        <v>33</v>
      </c>
      <c r="K45" s="859">
        <f t="shared" si="4"/>
        <v>0</v>
      </c>
      <c r="L45" s="859">
        <f t="shared" si="5"/>
        <v>0</v>
      </c>
    </row>
    <row r="46" spans="1:14">
      <c r="A46" s="858" t="s">
        <v>140</v>
      </c>
      <c r="B46" s="858"/>
      <c r="C46" s="859">
        <f>+balance!C46</f>
        <v>0</v>
      </c>
      <c r="D46" s="859">
        <f>+'Balanc GOYO'!D46+balance!D46</f>
        <v>0</v>
      </c>
      <c r="G46" s="833"/>
      <c r="I46" s="858" t="s">
        <v>140</v>
      </c>
      <c r="J46" s="858"/>
      <c r="K46" s="859">
        <f t="shared" si="4"/>
        <v>0</v>
      </c>
      <c r="L46" s="859">
        <f t="shared" si="5"/>
        <v>0</v>
      </c>
    </row>
    <row r="47" spans="1:14" s="419" customFormat="1" ht="13.8" thickBot="1">
      <c r="A47" s="861" t="s">
        <v>1000</v>
      </c>
      <c r="B47" s="861" t="s">
        <v>1001</v>
      </c>
      <c r="C47" s="862">
        <f>+SUM(C35:C46)</f>
        <v>170716790070.17328</v>
      </c>
      <c r="D47" s="862">
        <f>+SUM(D35:D46)</f>
        <v>260257813221.85104</v>
      </c>
      <c r="E47" s="421"/>
      <c r="F47" s="865"/>
      <c r="G47" s="833"/>
      <c r="I47" s="861" t="s">
        <v>1000</v>
      </c>
      <c r="J47" s="861" t="s">
        <v>1001</v>
      </c>
      <c r="K47" s="862">
        <f>+SUM(K35:K46)</f>
        <v>170716790070.17328</v>
      </c>
      <c r="L47" s="862">
        <f>+SUM(L35:L46)</f>
        <v>258134452994.79105</v>
      </c>
      <c r="N47" s="421"/>
    </row>
    <row r="48" spans="1:14" s="419" customFormat="1">
      <c r="A48" s="861" t="s">
        <v>952</v>
      </c>
      <c r="B48" s="861" t="s">
        <v>642</v>
      </c>
      <c r="C48" s="836"/>
      <c r="D48" s="836"/>
      <c r="E48" s="421"/>
      <c r="F48" s="865"/>
      <c r="G48" s="833"/>
      <c r="I48" s="861" t="s">
        <v>952</v>
      </c>
      <c r="J48" s="861" t="s">
        <v>642</v>
      </c>
      <c r="K48" s="836"/>
      <c r="L48" s="836"/>
      <c r="N48" s="421"/>
    </row>
    <row r="49" spans="1:15">
      <c r="A49" s="858" t="s">
        <v>34</v>
      </c>
      <c r="B49" s="858" t="s">
        <v>35</v>
      </c>
      <c r="C49" s="859">
        <f>+balance!C49</f>
        <v>73721860000</v>
      </c>
      <c r="D49" s="859">
        <f>+'Balanc GOYO'!D49+balance!D49</f>
        <v>99937516808.550003</v>
      </c>
      <c r="G49" s="833"/>
      <c r="I49" s="858" t="s">
        <v>34</v>
      </c>
      <c r="J49" s="858" t="s">
        <v>35</v>
      </c>
      <c r="K49" s="859">
        <f t="shared" ref="K49:K53" si="6">+C49</f>
        <v>73721860000</v>
      </c>
      <c r="L49" s="859">
        <f t="shared" ref="L49:L53" si="7">+D49+F49</f>
        <v>99937516808.550003</v>
      </c>
    </row>
    <row r="50" spans="1:15">
      <c r="A50" s="858" t="s">
        <v>36</v>
      </c>
      <c r="B50" s="858" t="s">
        <v>31</v>
      </c>
      <c r="C50" s="859">
        <f>+balance!C50</f>
        <v>0</v>
      </c>
      <c r="D50" s="859">
        <f>+'Balanc GOYO'!D50+balance!D50</f>
        <v>0</v>
      </c>
      <c r="G50" s="833"/>
      <c r="I50" s="858" t="s">
        <v>36</v>
      </c>
      <c r="J50" s="858" t="s">
        <v>31</v>
      </c>
      <c r="K50" s="859">
        <f t="shared" si="6"/>
        <v>0</v>
      </c>
      <c r="L50" s="859">
        <f t="shared" si="7"/>
        <v>0</v>
      </c>
    </row>
    <row r="51" spans="1:15">
      <c r="A51" s="858" t="s">
        <v>37</v>
      </c>
      <c r="B51" s="858" t="s">
        <v>38</v>
      </c>
      <c r="C51" s="859">
        <f>+balance!C51</f>
        <v>0</v>
      </c>
      <c r="D51" s="859">
        <f>+'Balanc GOYO'!D51+balance!D51</f>
        <v>8206834000</v>
      </c>
      <c r="G51" s="833"/>
      <c r="I51" s="858" t="s">
        <v>37</v>
      </c>
      <c r="J51" s="858" t="s">
        <v>38</v>
      </c>
      <c r="K51" s="859">
        <f t="shared" si="6"/>
        <v>0</v>
      </c>
      <c r="L51" s="859">
        <f t="shared" si="7"/>
        <v>8206834000</v>
      </c>
    </row>
    <row r="52" spans="1:15">
      <c r="A52" s="858" t="s">
        <v>39</v>
      </c>
      <c r="B52" s="858" t="s">
        <v>40</v>
      </c>
      <c r="C52" s="859">
        <f>+balance!C52</f>
        <v>26294693764.057003</v>
      </c>
      <c r="D52" s="859">
        <f>+'Balanc GOYO'!D52+balance!D52</f>
        <v>35761709668.341888</v>
      </c>
      <c r="G52" s="833"/>
      <c r="I52" s="858" t="s">
        <v>39</v>
      </c>
      <c r="J52" s="858" t="s">
        <v>40</v>
      </c>
      <c r="K52" s="859">
        <f t="shared" si="6"/>
        <v>26294693764.057003</v>
      </c>
      <c r="L52" s="859">
        <f t="shared" si="7"/>
        <v>35761709668.341888</v>
      </c>
    </row>
    <row r="53" spans="1:15">
      <c r="A53" s="858" t="s">
        <v>41</v>
      </c>
      <c r="B53" s="858"/>
      <c r="C53" s="859">
        <f>+balance!C53</f>
        <v>0</v>
      </c>
      <c r="D53" s="859">
        <f>+'Balanc GOYO'!D53+balance!D53</f>
        <v>0</v>
      </c>
      <c r="G53" s="833"/>
      <c r="I53" s="858" t="s">
        <v>41</v>
      </c>
      <c r="J53" s="858"/>
      <c r="K53" s="859">
        <f t="shared" si="6"/>
        <v>0</v>
      </c>
      <c r="L53" s="859">
        <f t="shared" si="7"/>
        <v>0</v>
      </c>
    </row>
    <row r="54" spans="1:15" s="419" customFormat="1">
      <c r="A54" s="861" t="s">
        <v>128</v>
      </c>
      <c r="B54" s="861" t="s">
        <v>1002</v>
      </c>
      <c r="C54" s="863">
        <f>SUM(C49:C53)</f>
        <v>100016553764.05701</v>
      </c>
      <c r="D54" s="863">
        <f>SUM(D49:D53)</f>
        <v>143906060476.89191</v>
      </c>
      <c r="E54" s="421"/>
      <c r="F54" s="865"/>
      <c r="G54" s="833"/>
      <c r="I54" s="861" t="s">
        <v>128</v>
      </c>
      <c r="J54" s="861" t="s">
        <v>1002</v>
      </c>
      <c r="K54" s="863">
        <f>SUM(K49:K53)</f>
        <v>100016553764.05701</v>
      </c>
      <c r="L54" s="863">
        <f>SUM(L49:L53)</f>
        <v>143906060476.89191</v>
      </c>
      <c r="N54" s="421"/>
    </row>
    <row r="55" spans="1:15" s="419" customFormat="1" ht="13.8" thickBot="1">
      <c r="A55" s="861" t="s">
        <v>953</v>
      </c>
      <c r="B55" s="861" t="s">
        <v>1003</v>
      </c>
      <c r="C55" s="862">
        <f>+C47+C54</f>
        <v>270733343834.23029</v>
      </c>
      <c r="D55" s="862">
        <f>+D47+D54</f>
        <v>404163873698.74292</v>
      </c>
      <c r="E55" s="421"/>
      <c r="F55" s="865"/>
      <c r="G55" s="833"/>
      <c r="I55" s="861" t="s">
        <v>953</v>
      </c>
      <c r="J55" s="861" t="s">
        <v>1003</v>
      </c>
      <c r="K55" s="862">
        <f>+K47+K54</f>
        <v>270733343834.23029</v>
      </c>
      <c r="L55" s="862">
        <f>+L47+L54</f>
        <v>402040513471.68298</v>
      </c>
      <c r="N55" s="421"/>
    </row>
    <row r="56" spans="1:15" s="419" customFormat="1">
      <c r="A56" s="861" t="s">
        <v>954</v>
      </c>
      <c r="B56" s="861" t="s">
        <v>1004</v>
      </c>
      <c r="C56" s="836"/>
      <c r="D56" s="836"/>
      <c r="E56" s="421"/>
      <c r="F56" s="865"/>
      <c r="G56" s="833"/>
      <c r="I56" s="861" t="s">
        <v>954</v>
      </c>
      <c r="J56" s="861" t="s">
        <v>1004</v>
      </c>
      <c r="K56" s="836"/>
      <c r="L56" s="836"/>
      <c r="N56" s="421"/>
    </row>
    <row r="57" spans="1:15">
      <c r="A57" s="858" t="s">
        <v>42</v>
      </c>
      <c r="B57" s="858" t="s">
        <v>172</v>
      </c>
      <c r="C57" s="859"/>
      <c r="D57" s="859"/>
      <c r="G57" s="833"/>
      <c r="I57" s="858" t="s">
        <v>42</v>
      </c>
      <c r="J57" s="858" t="s">
        <v>172</v>
      </c>
      <c r="K57" s="859"/>
      <c r="L57" s="859"/>
    </row>
    <row r="58" spans="1:15">
      <c r="A58" s="858" t="s">
        <v>43</v>
      </c>
      <c r="B58" s="858" t="s">
        <v>44</v>
      </c>
      <c r="C58" s="859">
        <f>+balance!C58</f>
        <v>0</v>
      </c>
      <c r="D58" s="859">
        <f>+'Balanc GOYO'!D58+balance!D58</f>
        <v>20160055367</v>
      </c>
      <c r="F58" s="857">
        <f>-D58</f>
        <v>-20160055367</v>
      </c>
      <c r="G58" s="833"/>
      <c r="I58" s="858" t="s">
        <v>43</v>
      </c>
      <c r="J58" s="858" t="s">
        <v>44</v>
      </c>
      <c r="K58" s="859">
        <f t="shared" ref="K58:K66" si="8">+C58</f>
        <v>0</v>
      </c>
      <c r="L58" s="859">
        <f t="shared" ref="L58:L66" si="9">+D58+F58</f>
        <v>0</v>
      </c>
    </row>
    <row r="59" spans="1:15">
      <c r="A59" s="858" t="s">
        <v>45</v>
      </c>
      <c r="B59" s="858" t="s">
        <v>46</v>
      </c>
      <c r="C59" s="859">
        <f>+balance!C59</f>
        <v>780112793.59999847</v>
      </c>
      <c r="D59" s="859">
        <f>+'Balanc GOYO'!D59+balance!D59</f>
        <v>780112793.59999847</v>
      </c>
      <c r="F59" s="857">
        <v>0</v>
      </c>
      <c r="G59" s="833"/>
      <c r="I59" s="858" t="s">
        <v>45</v>
      </c>
      <c r="J59" s="858" t="s">
        <v>46</v>
      </c>
      <c r="K59" s="859">
        <f t="shared" si="8"/>
        <v>780112793.59999847</v>
      </c>
      <c r="L59" s="859">
        <f t="shared" si="9"/>
        <v>780112793.59999847</v>
      </c>
      <c r="N59" s="420">
        <f>+balance!D59</f>
        <v>780112793.59999847</v>
      </c>
      <c r="O59" s="833">
        <f>+N59-L59</f>
        <v>0</v>
      </c>
    </row>
    <row r="60" spans="1:15">
      <c r="A60" s="858" t="s">
        <v>47</v>
      </c>
      <c r="B60" s="858" t="s">
        <v>48</v>
      </c>
      <c r="C60" s="859">
        <f>+balance!C60</f>
        <v>0</v>
      </c>
      <c r="D60" s="859">
        <f>+'Balanc GOYO'!D60+balance!D60</f>
        <v>0</v>
      </c>
      <c r="G60" s="833"/>
      <c r="I60" s="858" t="s">
        <v>47</v>
      </c>
      <c r="J60" s="858" t="s">
        <v>48</v>
      </c>
      <c r="K60" s="859">
        <f t="shared" si="8"/>
        <v>0</v>
      </c>
      <c r="L60" s="859">
        <f t="shared" si="9"/>
        <v>0</v>
      </c>
      <c r="N60" s="420">
        <f>+balance!D60</f>
        <v>0</v>
      </c>
      <c r="O60" s="833">
        <f t="shared" ref="O60:O67" si="10">+N60-L60</f>
        <v>0</v>
      </c>
    </row>
    <row r="61" spans="1:15">
      <c r="A61" s="858" t="s">
        <v>49</v>
      </c>
      <c r="B61" s="858" t="s">
        <v>50</v>
      </c>
      <c r="C61" s="859">
        <f>+balance!C61</f>
        <v>0</v>
      </c>
      <c r="D61" s="859">
        <f>+'Balanc GOYO'!D61+balance!D61</f>
        <v>0</v>
      </c>
      <c r="G61" s="833"/>
      <c r="I61" s="858" t="s">
        <v>49</v>
      </c>
      <c r="J61" s="858" t="s">
        <v>50</v>
      </c>
      <c r="K61" s="859">
        <f t="shared" si="8"/>
        <v>0</v>
      </c>
      <c r="L61" s="859">
        <f t="shared" si="9"/>
        <v>0</v>
      </c>
      <c r="N61" s="420">
        <f>+balance!D61</f>
        <v>0</v>
      </c>
      <c r="O61" s="833">
        <f t="shared" si="10"/>
        <v>0</v>
      </c>
    </row>
    <row r="62" spans="1:15">
      <c r="A62" s="858" t="s">
        <v>51</v>
      </c>
      <c r="B62" s="858" t="s">
        <v>52</v>
      </c>
      <c r="C62" s="859">
        <f>+balance!C62</f>
        <v>48870400577.309998</v>
      </c>
      <c r="D62" s="859">
        <f>+'Balanc GOYO'!D62+balance!D62</f>
        <v>50582124375.089996</v>
      </c>
      <c r="F62" s="857">
        <f>-'Balanc GOYO'!D62</f>
        <v>-6013584797.7800007</v>
      </c>
      <c r="G62" s="833"/>
      <c r="I62" s="858" t="s">
        <v>51</v>
      </c>
      <c r="J62" s="858" t="s">
        <v>52</v>
      </c>
      <c r="K62" s="859">
        <f t="shared" si="8"/>
        <v>48870400577.309998</v>
      </c>
      <c r="L62" s="859">
        <f t="shared" si="9"/>
        <v>44568539577.309998</v>
      </c>
      <c r="N62" s="420">
        <f>+balance!D62</f>
        <v>44568539577.309998</v>
      </c>
      <c r="O62" s="833">
        <f t="shared" si="10"/>
        <v>0</v>
      </c>
    </row>
    <row r="63" spans="1:15">
      <c r="A63" s="858" t="s">
        <v>53</v>
      </c>
      <c r="B63" s="858" t="s">
        <v>54</v>
      </c>
      <c r="C63" s="859">
        <f>+balance!C63</f>
        <v>561877727.10192502</v>
      </c>
      <c r="D63" s="859">
        <f>+'Balanc GOYO'!D63+balance!D63</f>
        <v>-11436009844.975689</v>
      </c>
      <c r="G63" s="833"/>
      <c r="I63" s="858" t="s">
        <v>53</v>
      </c>
      <c r="J63" s="858" t="s">
        <v>54</v>
      </c>
      <c r="K63" s="859">
        <f t="shared" si="8"/>
        <v>561877727.10192502</v>
      </c>
      <c r="L63" s="859">
        <f t="shared" si="9"/>
        <v>-11436009844.975689</v>
      </c>
      <c r="N63" s="420">
        <f>+balance!D63</f>
        <v>-11436009844.975689</v>
      </c>
      <c r="O63" s="833">
        <f t="shared" si="10"/>
        <v>0</v>
      </c>
    </row>
    <row r="64" spans="1:15">
      <c r="A64" s="858" t="s">
        <v>55</v>
      </c>
      <c r="B64" s="858" t="s">
        <v>56</v>
      </c>
      <c r="C64" s="859">
        <f>+balance!C64</f>
        <v>0</v>
      </c>
      <c r="D64" s="859">
        <f>+'Balanc GOYO'!D64+balance!D64</f>
        <v>0</v>
      </c>
      <c r="G64" s="833"/>
      <c r="I64" s="858" t="s">
        <v>55</v>
      </c>
      <c r="J64" s="858" t="s">
        <v>56</v>
      </c>
      <c r="K64" s="859">
        <f t="shared" si="8"/>
        <v>0</v>
      </c>
      <c r="L64" s="859">
        <f t="shared" si="9"/>
        <v>0</v>
      </c>
      <c r="N64" s="420">
        <f>+balance!D64</f>
        <v>0</v>
      </c>
      <c r="O64" s="833">
        <f t="shared" si="10"/>
        <v>0</v>
      </c>
    </row>
    <row r="65" spans="1:15">
      <c r="A65" s="858" t="s">
        <v>57</v>
      </c>
      <c r="B65" s="858" t="s">
        <v>58</v>
      </c>
      <c r="C65" s="859">
        <f>+balance!C65</f>
        <v>-21087268202.183891</v>
      </c>
      <c r="D65" s="859">
        <f>+'Balanc GOYO'!D65+balance!D65</f>
        <v>-55107785357.736923</v>
      </c>
      <c r="F65" s="857">
        <v>-10901363735.219999</v>
      </c>
      <c r="G65" s="833"/>
      <c r="I65" s="858" t="s">
        <v>57</v>
      </c>
      <c r="J65" s="858" t="s">
        <v>58</v>
      </c>
      <c r="K65" s="859">
        <f t="shared" si="8"/>
        <v>-21087268202.183891</v>
      </c>
      <c r="L65" s="859">
        <f t="shared" si="9"/>
        <v>-66009149092.956924</v>
      </c>
      <c r="N65" s="420">
        <f>+balance!D65</f>
        <v>-28084877887.186928</v>
      </c>
      <c r="O65" s="833">
        <f t="shared" si="10"/>
        <v>37924271205.769997</v>
      </c>
    </row>
    <row r="66" spans="1:15">
      <c r="A66" s="858" t="s">
        <v>59</v>
      </c>
      <c r="B66" s="858"/>
      <c r="C66" s="859">
        <f>+balance!C66</f>
        <v>0</v>
      </c>
      <c r="D66" s="859">
        <f>+'Balanc GOYO'!D66+balance!D66</f>
        <v>0</v>
      </c>
      <c r="G66" s="833"/>
      <c r="I66" s="858" t="s">
        <v>59</v>
      </c>
      <c r="J66" s="858"/>
      <c r="K66" s="859">
        <f t="shared" si="8"/>
        <v>0</v>
      </c>
      <c r="L66" s="859">
        <f t="shared" si="9"/>
        <v>0</v>
      </c>
      <c r="N66" s="420">
        <f>+balance!D66</f>
        <v>0</v>
      </c>
      <c r="O66" s="833">
        <f t="shared" si="10"/>
        <v>0</v>
      </c>
    </row>
    <row r="67" spans="1:15" s="419" customFormat="1" ht="13.8" thickBot="1">
      <c r="A67" s="861" t="s">
        <v>1005</v>
      </c>
      <c r="B67" s="861" t="s">
        <v>1006</v>
      </c>
      <c r="C67" s="862">
        <f>+SUM(C57:C66)</f>
        <v>29125122895.828033</v>
      </c>
      <c r="D67" s="862">
        <f>+SUM(D57:D66)</f>
        <v>4978497332.9773865</v>
      </c>
      <c r="E67" s="421"/>
      <c r="F67" s="865">
        <f>SUM(F35:F66)</f>
        <v>-39198364127.060005</v>
      </c>
      <c r="G67" s="833"/>
      <c r="I67" s="861" t="s">
        <v>1005</v>
      </c>
      <c r="J67" s="861" t="s">
        <v>1006</v>
      </c>
      <c r="K67" s="862">
        <f>+SUM(K57:K66)</f>
        <v>29125122895.828033</v>
      </c>
      <c r="L67" s="862">
        <f>+SUM(L57:L66)</f>
        <v>-32096506567.022617</v>
      </c>
      <c r="N67" s="420">
        <f>SUM(N59:N66)</f>
        <v>5827764638.7473793</v>
      </c>
      <c r="O67" s="833">
        <f t="shared" si="10"/>
        <v>37924271205.769997</v>
      </c>
    </row>
    <row r="68" spans="1:15" s="419" customFormat="1" ht="13.8" thickBot="1">
      <c r="A68" s="861" t="s">
        <v>955</v>
      </c>
      <c r="B68" s="861" t="s">
        <v>1007</v>
      </c>
      <c r="C68" s="837">
        <f>+C55+C67</f>
        <v>299858466730.05835</v>
      </c>
      <c r="D68" s="837">
        <f>+D55+D67</f>
        <v>409142371031.72034</v>
      </c>
      <c r="E68" s="421"/>
      <c r="F68" s="865" t="e">
        <f>+F67-F31</f>
        <v>#REF!</v>
      </c>
      <c r="G68" s="833"/>
      <c r="I68" s="861" t="s">
        <v>955</v>
      </c>
      <c r="J68" s="861" t="s">
        <v>1007</v>
      </c>
      <c r="K68" s="837">
        <f>+K55+K67</f>
        <v>299858466730.05835</v>
      </c>
      <c r="L68" s="837">
        <f>+L55+L67</f>
        <v>369944006904.66034</v>
      </c>
      <c r="N68" s="421"/>
    </row>
    <row r="69" spans="1:15">
      <c r="C69" s="838">
        <f>+C31-C68</f>
        <v>1.275634765625E-2</v>
      </c>
      <c r="D69" s="839">
        <f>+D31-D68</f>
        <v>-0.1236572265625</v>
      </c>
      <c r="E69" s="420">
        <f>+balance!D68+'Balanc GOYO'!D68</f>
        <v>409142371031.72028</v>
      </c>
      <c r="K69" s="838">
        <f>+K31-K68</f>
        <v>1.275634765625E-2</v>
      </c>
      <c r="L69" s="839" t="e">
        <f>+L31-L68</f>
        <v>#REF!</v>
      </c>
    </row>
    <row r="70" spans="1:15">
      <c r="B70" s="806" t="str">
        <f>+[2]nuur1!A19</f>
        <v xml:space="preserve">                                       Гүйцэтгэх  Захирал:        ________________                              /Ц.Баатарсайхан/</v>
      </c>
      <c r="E70" s="420">
        <f>+E69-D68</f>
        <v>0</v>
      </c>
      <c r="J70" s="806">
        <f>+[2]nuur1!I19</f>
        <v>0</v>
      </c>
    </row>
    <row r="72" spans="1:15">
      <c r="B72" s="806" t="str">
        <f>+[2]nuur1!A21</f>
        <v xml:space="preserve">                                             СБУГ-ийн захирал:        ________________               /Г.Сэлэнгэ/</v>
      </c>
      <c r="J72" s="806">
        <f>+[2]nuur1!I21</f>
        <v>0</v>
      </c>
    </row>
  </sheetData>
  <mergeCells count="6">
    <mergeCell ref="K5:L5"/>
    <mergeCell ref="A5:A6"/>
    <mergeCell ref="B5:B6"/>
    <mergeCell ref="C5:D5"/>
    <mergeCell ref="I5:I6"/>
    <mergeCell ref="J5:J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J17" sqref="J17"/>
    </sheetView>
  </sheetViews>
  <sheetFormatPr defaultRowHeight="13.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2:F39"/>
  <sheetViews>
    <sheetView zoomScale="80" zoomScaleNormal="80" workbookViewId="0">
      <pane xSplit="3" ySplit="6" topLeftCell="D19" activePane="bottomRight" state="frozen"/>
      <selection pane="topRight" activeCell="D1" sqref="D1"/>
      <selection pane="bottomLeft" activeCell="A7" sqref="A7"/>
      <selection pane="bottomRight" activeCell="E31" sqref="E31"/>
    </sheetView>
  </sheetViews>
  <sheetFormatPr defaultColWidth="9.109375" defaultRowHeight="13.2"/>
  <cols>
    <col min="1" max="1" width="8" style="250" customWidth="1"/>
    <col min="2" max="2" width="44.33203125" style="250" customWidth="1"/>
    <col min="3" max="3" width="17.44140625" style="295" bestFit="1" customWidth="1"/>
    <col min="4" max="4" width="17.88671875" style="295" customWidth="1"/>
    <col min="5" max="6" width="15" style="840" bestFit="1" customWidth="1"/>
    <col min="7" max="7" width="9.109375" style="250"/>
    <col min="8" max="8" width="18.77734375" style="250" bestFit="1" customWidth="1"/>
    <col min="9" max="9" width="16.6640625" style="250" bestFit="1" customWidth="1"/>
    <col min="10" max="16384" width="9.109375" style="250"/>
  </cols>
  <sheetData>
    <row r="2" spans="1:6">
      <c r="A2" s="965" t="s">
        <v>985</v>
      </c>
      <c r="B2" s="965"/>
      <c r="C2" s="965"/>
      <c r="D2" s="965"/>
    </row>
    <row r="4" spans="1:6">
      <c r="A4" s="299" t="str">
        <f>+nuur1!A3</f>
        <v>"ГОВЬ" ХК-ийн</v>
      </c>
      <c r="D4" s="312" t="str">
        <f>+nuur1!A7</f>
        <v>2022  оны  12  сарын 31 өдөр</v>
      </c>
    </row>
    <row r="5" spans="1:6">
      <c r="A5" s="289" t="s">
        <v>0</v>
      </c>
      <c r="D5" s="296" t="s">
        <v>1</v>
      </c>
    </row>
    <row r="6" spans="1:6" ht="39.6">
      <c r="A6" s="300" t="s">
        <v>4</v>
      </c>
      <c r="B6" s="290" t="s">
        <v>5</v>
      </c>
      <c r="C6" s="313" t="s">
        <v>1013</v>
      </c>
      <c r="D6" s="313" t="s">
        <v>173</v>
      </c>
      <c r="E6" s="250"/>
      <c r="F6" s="250"/>
    </row>
    <row r="7" spans="1:6" s="307" customFormat="1" ht="17.25" customHeight="1">
      <c r="A7" s="302">
        <v>1</v>
      </c>
      <c r="B7" s="292" t="s">
        <v>990</v>
      </c>
      <c r="C7" s="910">
        <v>144344328993.0018</v>
      </c>
      <c r="D7" s="910">
        <v>193427608668.15012</v>
      </c>
    </row>
    <row r="8" spans="1:6" ht="17.25" customHeight="1">
      <c r="A8" s="304">
        <v>2</v>
      </c>
      <c r="B8" s="291" t="s">
        <v>60</v>
      </c>
      <c r="C8" s="911">
        <v>85543487398.720825</v>
      </c>
      <c r="D8" s="911">
        <v>97766831001.219284</v>
      </c>
      <c r="E8" s="250"/>
      <c r="F8" s="250"/>
    </row>
    <row r="9" spans="1:6" s="307" customFormat="1" ht="17.25" customHeight="1">
      <c r="A9" s="302">
        <v>3</v>
      </c>
      <c r="B9" s="292" t="s">
        <v>991</v>
      </c>
      <c r="C9" s="910">
        <f>+C7-C8</f>
        <v>58800841594.280975</v>
      </c>
      <c r="D9" s="910">
        <f>+D7-D8</f>
        <v>95660777666.930832</v>
      </c>
    </row>
    <row r="10" spans="1:6" ht="17.25" customHeight="1">
      <c r="A10" s="304">
        <v>4</v>
      </c>
      <c r="B10" s="291" t="s">
        <v>61</v>
      </c>
      <c r="C10" s="911">
        <v>256560846.09</v>
      </c>
      <c r="D10" s="911">
        <v>373611703.94</v>
      </c>
      <c r="E10" s="250"/>
      <c r="F10" s="250"/>
    </row>
    <row r="11" spans="1:6" ht="17.25" customHeight="1">
      <c r="A11" s="304">
        <v>5</v>
      </c>
      <c r="B11" s="291" t="s">
        <v>62</v>
      </c>
      <c r="C11" s="911">
        <v>30585222.505100962</v>
      </c>
      <c r="D11" s="911">
        <v>29260700.232367836</v>
      </c>
      <c r="E11" s="250"/>
      <c r="F11" s="250"/>
    </row>
    <row r="12" spans="1:6" ht="17.25" customHeight="1">
      <c r="A12" s="304">
        <v>6</v>
      </c>
      <c r="B12" s="291" t="s">
        <v>63</v>
      </c>
      <c r="C12" s="911">
        <v>0</v>
      </c>
      <c r="D12" s="911">
        <v>0</v>
      </c>
      <c r="E12" s="250"/>
      <c r="F12" s="250"/>
    </row>
    <row r="13" spans="1:6" ht="17.25" customHeight="1">
      <c r="A13" s="304">
        <v>7</v>
      </c>
      <c r="B13" s="291" t="s">
        <v>64</v>
      </c>
      <c r="C13" s="911">
        <v>0</v>
      </c>
      <c r="D13" s="911">
        <v>0</v>
      </c>
      <c r="E13" s="250"/>
      <c r="F13" s="250"/>
    </row>
    <row r="14" spans="1:6" ht="17.25" customHeight="1">
      <c r="A14" s="304">
        <v>8</v>
      </c>
      <c r="B14" s="291" t="s">
        <v>65</v>
      </c>
      <c r="C14" s="911">
        <v>676278875.79011202</v>
      </c>
      <c r="D14" s="911">
        <v>841754069.70340014</v>
      </c>
      <c r="E14" s="250"/>
      <c r="F14" s="250"/>
    </row>
    <row r="15" spans="1:6" ht="17.25" customHeight="1">
      <c r="A15" s="304">
        <v>9</v>
      </c>
      <c r="B15" s="291" t="s">
        <v>66</v>
      </c>
      <c r="C15" s="911">
        <v>60568066939.945465</v>
      </c>
      <c r="D15" s="911">
        <v>61767482448.799774</v>
      </c>
      <c r="E15" s="250"/>
      <c r="F15" s="250"/>
    </row>
    <row r="16" spans="1:6" ht="17.25" customHeight="1">
      <c r="A16" s="304">
        <v>10</v>
      </c>
      <c r="B16" s="291" t="s">
        <v>67</v>
      </c>
      <c r="C16" s="911">
        <v>14146269115.169996</v>
      </c>
      <c r="D16" s="911">
        <v>13047588318.359997</v>
      </c>
      <c r="E16" s="250"/>
      <c r="F16" s="250"/>
    </row>
    <row r="17" spans="1:6" ht="17.25" customHeight="1">
      <c r="A17" s="304">
        <v>11</v>
      </c>
      <c r="B17" s="291" t="s">
        <v>68</v>
      </c>
      <c r="C17" s="911">
        <v>25474285522.25219</v>
      </c>
      <c r="D17" s="911">
        <v>26000426563.707836</v>
      </c>
      <c r="E17" s="250"/>
      <c r="F17" s="250"/>
    </row>
    <row r="18" spans="1:6" ht="17.25" customHeight="1">
      <c r="A18" s="304">
        <v>12</v>
      </c>
      <c r="B18" s="291" t="s">
        <v>69</v>
      </c>
      <c r="C18" s="911">
        <v>601365097.74249995</v>
      </c>
      <c r="D18" s="911">
        <v>1094287262.1585121</v>
      </c>
      <c r="E18" s="250"/>
      <c r="F18" s="250"/>
    </row>
    <row r="19" spans="1:6" ht="17.25" customHeight="1">
      <c r="A19" s="304">
        <v>13</v>
      </c>
      <c r="B19" s="291" t="s">
        <v>70</v>
      </c>
      <c r="C19" s="911">
        <v>2944061319.0581007</v>
      </c>
      <c r="D19" s="911">
        <v>-4978855688.7033005</v>
      </c>
      <c r="E19" s="250"/>
      <c r="F19" s="250"/>
    </row>
    <row r="20" spans="1:6" ht="17.25" customHeight="1">
      <c r="A20" s="304">
        <v>14</v>
      </c>
      <c r="B20" s="291" t="s">
        <v>71</v>
      </c>
      <c r="C20" s="911">
        <v>-78409443.303000003</v>
      </c>
      <c r="D20" s="911">
        <v>-13355361.358400002</v>
      </c>
      <c r="E20" s="250"/>
      <c r="F20" s="250"/>
    </row>
    <row r="21" spans="1:6" ht="17.25" customHeight="1">
      <c r="A21" s="304">
        <v>15</v>
      </c>
      <c r="B21" s="291" t="s">
        <v>72</v>
      </c>
      <c r="C21" s="911"/>
      <c r="D21" s="911"/>
      <c r="E21" s="250"/>
      <c r="F21" s="250"/>
    </row>
    <row r="22" spans="1:6" ht="17.25" customHeight="1">
      <c r="A22" s="304">
        <v>16</v>
      </c>
      <c r="B22" s="291" t="s">
        <v>73</v>
      </c>
      <c r="C22" s="911">
        <v>0</v>
      </c>
      <c r="D22" s="911">
        <v>0</v>
      </c>
      <c r="E22" s="250"/>
      <c r="F22" s="250"/>
    </row>
    <row r="23" spans="1:6" ht="17.25" customHeight="1">
      <c r="A23" s="304">
        <v>17</v>
      </c>
      <c r="B23" s="291" t="s">
        <v>74</v>
      </c>
      <c r="C23" s="911">
        <v>48066296.779868007</v>
      </c>
      <c r="D23" s="911">
        <v>0</v>
      </c>
      <c r="E23" s="250"/>
      <c r="F23" s="250"/>
    </row>
    <row r="24" spans="1:6" s="307" customFormat="1" ht="17.25" customHeight="1">
      <c r="A24" s="302">
        <v>18</v>
      </c>
      <c r="B24" s="292" t="s">
        <v>992</v>
      </c>
      <c r="C24" s="910">
        <f>+C9+C10+C11+C12+C13+C14-C15-C16-C17-C18+C19+C20+C21+C22+C23</f>
        <v>-38112001963.908997</v>
      </c>
      <c r="D24" s="910">
        <f>+D9+D10+D11+D12+D13+D14-D15-D16-D17-D18+D19+D20+D21+D22+D23</f>
        <v>-9996591502.2812252</v>
      </c>
    </row>
    <row r="25" spans="1:6" ht="17.25" customHeight="1">
      <c r="A25" s="302">
        <v>19</v>
      </c>
      <c r="B25" s="291" t="s">
        <v>75</v>
      </c>
      <c r="C25" s="911">
        <v>-165973607.7420001</v>
      </c>
      <c r="D25" s="911">
        <v>-2998981817.3140001</v>
      </c>
      <c r="E25" s="250"/>
      <c r="F25" s="250"/>
    </row>
    <row r="26" spans="1:6" s="307" customFormat="1" ht="17.25" customHeight="1">
      <c r="A26" s="302">
        <v>20</v>
      </c>
      <c r="B26" s="292" t="s">
        <v>993</v>
      </c>
      <c r="C26" s="910">
        <f>+C24-C25</f>
        <v>-37946028356.167</v>
      </c>
      <c r="D26" s="910">
        <f>+D24-D25</f>
        <v>-6997609684.9672251</v>
      </c>
    </row>
    <row r="27" spans="1:6" ht="17.25" customHeight="1">
      <c r="A27" s="302">
        <v>21</v>
      </c>
      <c r="B27" s="305" t="s">
        <v>986</v>
      </c>
      <c r="C27" s="911"/>
      <c r="D27" s="911"/>
      <c r="E27" s="250"/>
      <c r="F27" s="250"/>
    </row>
    <row r="28" spans="1:6" s="307" customFormat="1" ht="17.25" customHeight="1">
      <c r="A28" s="302">
        <v>22</v>
      </c>
      <c r="B28" s="292" t="s">
        <v>994</v>
      </c>
      <c r="C28" s="910">
        <f>+C26</f>
        <v>-37946028356.167</v>
      </c>
      <c r="D28" s="910">
        <f>+D26</f>
        <v>-6997609684.9672251</v>
      </c>
    </row>
    <row r="29" spans="1:6" ht="17.25" customHeight="1">
      <c r="A29" s="302">
        <v>23</v>
      </c>
      <c r="B29" s="292" t="s">
        <v>85</v>
      </c>
      <c r="C29" s="911"/>
      <c r="D29" s="911"/>
      <c r="E29" s="250"/>
      <c r="F29" s="250"/>
    </row>
    <row r="30" spans="1:6" ht="17.25" customHeight="1">
      <c r="A30" s="966"/>
      <c r="B30" s="291" t="s">
        <v>76</v>
      </c>
      <c r="C30" s="911"/>
      <c r="D30" s="911"/>
      <c r="E30" s="250"/>
      <c r="F30" s="250"/>
    </row>
    <row r="31" spans="1:6" ht="17.25" customHeight="1">
      <c r="A31" s="967"/>
      <c r="B31" s="291" t="s">
        <v>77</v>
      </c>
      <c r="C31" s="911"/>
      <c r="D31" s="911"/>
      <c r="E31" s="250"/>
      <c r="F31" s="250"/>
    </row>
    <row r="32" spans="1:6" ht="17.25" customHeight="1">
      <c r="A32" s="968"/>
      <c r="B32" s="291" t="s">
        <v>78</v>
      </c>
      <c r="C32" s="911"/>
      <c r="D32" s="911"/>
      <c r="E32" s="250"/>
      <c r="F32" s="250"/>
    </row>
    <row r="33" spans="1:6" s="307" customFormat="1" ht="17.25" customHeight="1">
      <c r="A33" s="302" t="s">
        <v>966</v>
      </c>
      <c r="B33" s="292" t="s">
        <v>995</v>
      </c>
      <c r="C33" s="910"/>
      <c r="D33" s="910"/>
    </row>
    <row r="34" spans="1:6" ht="17.25" customHeight="1">
      <c r="A34" s="304" t="s">
        <v>987</v>
      </c>
      <c r="B34" s="291" t="s">
        <v>988</v>
      </c>
      <c r="C34" s="911"/>
      <c r="D34" s="911"/>
      <c r="E34" s="250"/>
      <c r="F34" s="250"/>
    </row>
    <row r="35" spans="1:6">
      <c r="E35" s="250"/>
      <c r="F35" s="250"/>
    </row>
    <row r="36" spans="1:6">
      <c r="B36" s="289"/>
      <c r="C36" s="294"/>
    </row>
    <row r="37" spans="1:6">
      <c r="B37" s="288" t="str">
        <f>+balance!B70</f>
        <v xml:space="preserve">                                       Гүйцэтгэх  Захирал:                                   ________________                /Ц.Баатарсайхан/</v>
      </c>
      <c r="C37" s="320"/>
    </row>
    <row r="39" spans="1:6">
      <c r="B39" s="288" t="str">
        <f>+balance!B72</f>
        <v xml:space="preserve">                                       Санхүү бүртгэл хариуцсан захирал:        ________________               /Д.Содгэрэл/</v>
      </c>
      <c r="C39" s="320"/>
    </row>
  </sheetData>
  <mergeCells count="2">
    <mergeCell ref="A2:D2"/>
    <mergeCell ref="A30:A32"/>
  </mergeCells>
  <phoneticPr fontId="9" type="noConversion"/>
  <pageMargins left="0.99" right="0.33" top="0.61" bottom="0.75" header="0.3" footer="0.3"/>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D62"/>
  <sheetViews>
    <sheetView topLeftCell="A25" zoomScale="80" zoomScaleNormal="80" workbookViewId="0">
      <selection activeCell="D57" sqref="D57"/>
    </sheetView>
  </sheetViews>
  <sheetFormatPr defaultColWidth="9.109375" defaultRowHeight="13.2"/>
  <cols>
    <col min="1" max="1" width="4.88671875" style="250" customWidth="1"/>
    <col min="2" max="2" width="40.88671875" style="250" customWidth="1"/>
    <col min="3" max="3" width="20.44140625" style="295" customWidth="1"/>
    <col min="4" max="4" width="19.109375" style="926" customWidth="1"/>
    <col min="5" max="5" width="10" style="250" customWidth="1"/>
    <col min="6" max="6" width="8.5546875" style="250" customWidth="1"/>
    <col min="7" max="7" width="9.5546875" style="250" customWidth="1"/>
    <col min="8" max="8" width="10" style="250" customWidth="1"/>
    <col min="9" max="13" width="12.109375" style="250" customWidth="1"/>
    <col min="14" max="16384" width="9.109375" style="250"/>
  </cols>
  <sheetData>
    <row r="1" spans="1:4">
      <c r="A1" s="965" t="s">
        <v>1008</v>
      </c>
      <c r="B1" s="965"/>
      <c r="C1" s="965"/>
      <c r="D1" s="965"/>
    </row>
    <row r="2" spans="1:4">
      <c r="A2" s="289"/>
    </row>
    <row r="3" spans="1:4">
      <c r="A3" s="299" t="str">
        <f>+nuur1!A3</f>
        <v>"ГОВЬ" ХК-ийн</v>
      </c>
      <c r="D3" s="927" t="str">
        <f>+nuur1!A7</f>
        <v>2022  оны  12  сарын 31 өдөр</v>
      </c>
    </row>
    <row r="4" spans="1:4">
      <c r="A4" s="289" t="s">
        <v>0</v>
      </c>
      <c r="D4" s="928" t="s">
        <v>1</v>
      </c>
    </row>
    <row r="5" spans="1:4" ht="30" customHeight="1">
      <c r="A5" s="300" t="s">
        <v>4</v>
      </c>
      <c r="B5" s="290" t="s">
        <v>80</v>
      </c>
      <c r="C5" s="313" t="s">
        <v>1013</v>
      </c>
      <c r="D5" s="929" t="s">
        <v>173</v>
      </c>
    </row>
    <row r="6" spans="1:4" s="307" customFormat="1" ht="13.5" customHeight="1">
      <c r="A6" s="292">
        <v>1</v>
      </c>
      <c r="B6" s="309" t="s">
        <v>1010</v>
      </c>
      <c r="C6" s="321"/>
      <c r="D6" s="314"/>
    </row>
    <row r="7" spans="1:4" s="307" customFormat="1" ht="13.5" customHeight="1">
      <c r="A7" s="292">
        <v>1.1000000000000001</v>
      </c>
      <c r="B7" s="309" t="s">
        <v>89</v>
      </c>
      <c r="C7" s="917">
        <v>158564335384.37073</v>
      </c>
      <c r="D7" s="930">
        <f>+SUM(D8:D13)</f>
        <v>211370033941.61093</v>
      </c>
    </row>
    <row r="8" spans="1:4" ht="13.5" customHeight="1">
      <c r="A8" s="291"/>
      <c r="B8" s="308" t="s">
        <v>90</v>
      </c>
      <c r="C8" s="918">
        <v>157865321785.7128</v>
      </c>
      <c r="D8" s="931">
        <v>210328059109.47467</v>
      </c>
    </row>
    <row r="9" spans="1:4" ht="13.5" customHeight="1">
      <c r="A9" s="291"/>
      <c r="B9" s="308" t="s">
        <v>91</v>
      </c>
      <c r="C9" s="918">
        <v>0</v>
      </c>
      <c r="D9" s="931">
        <v>0</v>
      </c>
    </row>
    <row r="10" spans="1:4" ht="13.5" customHeight="1">
      <c r="A10" s="291"/>
      <c r="B10" s="308" t="s">
        <v>117</v>
      </c>
      <c r="C10" s="918">
        <v>0</v>
      </c>
      <c r="D10" s="931">
        <v>0</v>
      </c>
    </row>
    <row r="11" spans="1:4" ht="13.5" customHeight="1">
      <c r="A11" s="291"/>
      <c r="B11" s="308" t="s">
        <v>92</v>
      </c>
      <c r="C11" s="918">
        <v>0</v>
      </c>
      <c r="D11" s="931">
        <v>0</v>
      </c>
    </row>
    <row r="12" spans="1:4" ht="13.5" customHeight="1">
      <c r="A12" s="291"/>
      <c r="B12" s="308" t="s">
        <v>93</v>
      </c>
      <c r="C12" s="918">
        <v>0</v>
      </c>
      <c r="D12" s="931">
        <v>0</v>
      </c>
    </row>
    <row r="13" spans="1:4" ht="13.5" customHeight="1">
      <c r="A13" s="291"/>
      <c r="B13" s="308" t="s">
        <v>94</v>
      </c>
      <c r="C13" s="918">
        <v>699013598.65794086</v>
      </c>
      <c r="D13" s="931">
        <v>1041974832.1362573</v>
      </c>
    </row>
    <row r="14" spans="1:4" s="307" customFormat="1" ht="13.5" customHeight="1">
      <c r="A14" s="292">
        <v>1.2</v>
      </c>
      <c r="B14" s="309" t="s">
        <v>95</v>
      </c>
      <c r="C14" s="910">
        <v>-133493062535.63182</v>
      </c>
      <c r="D14" s="920">
        <f>+SUM(D15:D23)</f>
        <v>-177369082462.13397</v>
      </c>
    </row>
    <row r="15" spans="1:4" ht="13.5" customHeight="1">
      <c r="A15" s="291"/>
      <c r="B15" s="308" t="s">
        <v>96</v>
      </c>
      <c r="C15" s="918">
        <v>-23634286286.615105</v>
      </c>
      <c r="D15" s="931">
        <v>-27947882073.551289</v>
      </c>
    </row>
    <row r="16" spans="1:4" ht="13.5" customHeight="1">
      <c r="A16" s="291"/>
      <c r="B16" s="308" t="s">
        <v>97</v>
      </c>
      <c r="C16" s="918">
        <v>-6352092334.6838999</v>
      </c>
      <c r="D16" s="931">
        <v>-8797934636.2651005</v>
      </c>
    </row>
    <row r="17" spans="1:4" ht="13.5" customHeight="1">
      <c r="A17" s="291"/>
      <c r="B17" s="308" t="s">
        <v>118</v>
      </c>
      <c r="C17" s="918">
        <v>-6712562339.2191982</v>
      </c>
      <c r="D17" s="931">
        <v>-43403043382.544693</v>
      </c>
    </row>
    <row r="18" spans="1:4" ht="13.5" customHeight="1">
      <c r="A18" s="291"/>
      <c r="B18" s="308" t="s">
        <v>119</v>
      </c>
      <c r="C18" s="918">
        <v>-277770585.02160001</v>
      </c>
      <c r="D18" s="931">
        <v>-3050887987.7055001</v>
      </c>
    </row>
    <row r="19" spans="1:4" ht="13.5" customHeight="1">
      <c r="A19" s="291"/>
      <c r="B19" s="308" t="s">
        <v>98</v>
      </c>
      <c r="C19" s="918">
        <v>-5152731922.0000706</v>
      </c>
      <c r="D19" s="931">
        <v>-7364073991.698288</v>
      </c>
    </row>
    <row r="20" spans="1:4" ht="13.5" customHeight="1">
      <c r="A20" s="291"/>
      <c r="B20" s="308" t="s">
        <v>120</v>
      </c>
      <c r="C20" s="918">
        <v>-25037014678.942436</v>
      </c>
      <c r="D20" s="931">
        <v>-26380871890.709396</v>
      </c>
    </row>
    <row r="21" spans="1:4" ht="13.5" customHeight="1">
      <c r="A21" s="291"/>
      <c r="B21" s="308" t="s">
        <v>99</v>
      </c>
      <c r="C21" s="918">
        <v>-14752383281.448002</v>
      </c>
      <c r="D21" s="931">
        <v>-15217209229.80406</v>
      </c>
    </row>
    <row r="22" spans="1:4" ht="13.5" customHeight="1">
      <c r="A22" s="291"/>
      <c r="B22" s="308" t="s">
        <v>121</v>
      </c>
      <c r="C22" s="918">
        <v>-717364820.08509994</v>
      </c>
      <c r="D22" s="931">
        <v>-517737793.98889995</v>
      </c>
    </row>
    <row r="23" spans="1:4" ht="13.5" customHeight="1">
      <c r="A23" s="291"/>
      <c r="B23" s="308" t="s">
        <v>100</v>
      </c>
      <c r="C23" s="918">
        <v>-50856856287.616409</v>
      </c>
      <c r="D23" s="931">
        <v>-44689441475.866745</v>
      </c>
    </row>
    <row r="24" spans="1:4" s="307" customFormat="1" ht="13.5" customHeight="1">
      <c r="A24" s="292">
        <v>1.3</v>
      </c>
      <c r="B24" s="309" t="s">
        <v>122</v>
      </c>
      <c r="C24" s="910">
        <v>25071272848.738907</v>
      </c>
      <c r="D24" s="920">
        <f>+D7+D14</f>
        <v>34000951479.476959</v>
      </c>
    </row>
    <row r="25" spans="1:4" s="307" customFormat="1" ht="13.5" customHeight="1">
      <c r="A25" s="292">
        <v>2</v>
      </c>
      <c r="B25" s="309" t="s">
        <v>1011</v>
      </c>
      <c r="C25" s="919"/>
      <c r="D25" s="920"/>
    </row>
    <row r="26" spans="1:4" s="307" customFormat="1" ht="13.5" customHeight="1">
      <c r="A26" s="292">
        <v>2.1</v>
      </c>
      <c r="B26" s="309" t="s">
        <v>89</v>
      </c>
      <c r="C26" s="910">
        <v>475094407.73019999</v>
      </c>
      <c r="D26" s="920">
        <f>+SUM(D27:D34)</f>
        <v>299006181.85259998</v>
      </c>
    </row>
    <row r="27" spans="1:4" ht="13.5" customHeight="1">
      <c r="A27" s="291"/>
      <c r="B27" s="310" t="s">
        <v>101</v>
      </c>
      <c r="C27" s="921">
        <v>435596442</v>
      </c>
      <c r="D27" s="931">
        <v>150817521</v>
      </c>
    </row>
    <row r="28" spans="1:4" ht="13.5" customHeight="1">
      <c r="A28" s="291"/>
      <c r="B28" s="310" t="s">
        <v>102</v>
      </c>
      <c r="C28" s="921">
        <v>0</v>
      </c>
      <c r="D28" s="931">
        <v>0</v>
      </c>
    </row>
    <row r="29" spans="1:4" ht="13.5" customHeight="1">
      <c r="A29" s="291"/>
      <c r="B29" s="310" t="s">
        <v>103</v>
      </c>
      <c r="C29" s="921">
        <v>0</v>
      </c>
      <c r="D29" s="931">
        <v>0</v>
      </c>
    </row>
    <row r="30" spans="1:4" ht="13.5" customHeight="1">
      <c r="A30" s="291"/>
      <c r="B30" s="308" t="s">
        <v>104</v>
      </c>
      <c r="C30" s="921">
        <v>0</v>
      </c>
      <c r="D30" s="931">
        <v>0</v>
      </c>
    </row>
    <row r="31" spans="1:4" ht="13.5" customHeight="1">
      <c r="A31" s="291"/>
      <c r="B31" s="308" t="s">
        <v>105</v>
      </c>
      <c r="C31" s="921">
        <v>16440000</v>
      </c>
      <c r="D31" s="931">
        <v>0</v>
      </c>
    </row>
    <row r="32" spans="1:4" ht="13.5" customHeight="1">
      <c r="A32" s="291"/>
      <c r="B32" s="308" t="s">
        <v>106</v>
      </c>
      <c r="C32" s="921">
        <v>23057965.7302</v>
      </c>
      <c r="D32" s="931">
        <v>148188660.85259998</v>
      </c>
    </row>
    <row r="33" spans="1:4" ht="13.5" customHeight="1">
      <c r="A33" s="291"/>
      <c r="B33" s="308" t="s">
        <v>107</v>
      </c>
      <c r="C33" s="921">
        <v>0</v>
      </c>
      <c r="D33" s="931">
        <v>0</v>
      </c>
    </row>
    <row r="34" spans="1:4" ht="13.5" customHeight="1">
      <c r="A34" s="291"/>
      <c r="B34" s="305" t="s">
        <v>1409</v>
      </c>
      <c r="C34" s="922">
        <v>0</v>
      </c>
      <c r="D34" s="931">
        <v>0</v>
      </c>
    </row>
    <row r="35" spans="1:4" s="307" customFormat="1" ht="13.5" customHeight="1">
      <c r="A35" s="292">
        <v>2.2000000000000002</v>
      </c>
      <c r="B35" s="309" t="s">
        <v>95</v>
      </c>
      <c r="C35" s="910">
        <v>-5062597955.2477999</v>
      </c>
      <c r="D35" s="920">
        <f>+SUM(D36:D41)</f>
        <v>-3320735747.2199001</v>
      </c>
    </row>
    <row r="36" spans="1:4" ht="13.5" customHeight="1">
      <c r="A36" s="291"/>
      <c r="B36" s="308" t="s">
        <v>108</v>
      </c>
      <c r="C36" s="918">
        <v>-5035186350.9617996</v>
      </c>
      <c r="D36" s="931">
        <v>-3320735747.2199001</v>
      </c>
    </row>
    <row r="37" spans="1:4" ht="13.5" customHeight="1">
      <c r="A37" s="291"/>
      <c r="B37" s="308" t="s">
        <v>109</v>
      </c>
      <c r="C37" s="918">
        <v>-27411604.286000002</v>
      </c>
      <c r="D37" s="931">
        <v>0</v>
      </c>
    </row>
    <row r="38" spans="1:4" ht="13.5" customHeight="1">
      <c r="A38" s="291"/>
      <c r="B38" s="308" t="s">
        <v>123</v>
      </c>
      <c r="C38" s="918">
        <v>0</v>
      </c>
      <c r="D38" s="931">
        <v>0</v>
      </c>
    </row>
    <row r="39" spans="1:4" ht="13.5" customHeight="1">
      <c r="A39" s="291"/>
      <c r="B39" s="308" t="s">
        <v>110</v>
      </c>
      <c r="C39" s="918">
        <v>0</v>
      </c>
      <c r="D39" s="931">
        <v>0</v>
      </c>
    </row>
    <row r="40" spans="1:4" ht="13.5" customHeight="1">
      <c r="A40" s="291"/>
      <c r="B40" s="308" t="s">
        <v>111</v>
      </c>
      <c r="C40" s="918">
        <v>0</v>
      </c>
      <c r="D40" s="931">
        <v>0</v>
      </c>
    </row>
    <row r="41" spans="1:4" ht="13.5" customHeight="1">
      <c r="A41" s="291"/>
      <c r="B41" s="305"/>
      <c r="C41" s="918">
        <v>0</v>
      </c>
      <c r="D41" s="931">
        <v>0</v>
      </c>
    </row>
    <row r="42" spans="1:4" s="307" customFormat="1" ht="13.5" customHeight="1">
      <c r="A42" s="292">
        <v>2.2999999999999998</v>
      </c>
      <c r="B42" s="309" t="s">
        <v>124</v>
      </c>
      <c r="C42" s="910">
        <v>-4587503547.5176001</v>
      </c>
      <c r="D42" s="920">
        <f>+D26+D35</f>
        <v>-3021729565.3673</v>
      </c>
    </row>
    <row r="43" spans="1:4" s="307" customFormat="1" ht="13.5" customHeight="1">
      <c r="A43" s="292">
        <v>3</v>
      </c>
      <c r="B43" s="309" t="s">
        <v>115</v>
      </c>
      <c r="C43" s="919"/>
      <c r="D43" s="920"/>
    </row>
    <row r="44" spans="1:4" s="307" customFormat="1" ht="13.5" customHeight="1">
      <c r="A44" s="292">
        <v>3.1</v>
      </c>
      <c r="B44" s="309" t="s">
        <v>89</v>
      </c>
      <c r="C44" s="910">
        <v>424253569225</v>
      </c>
      <c r="D44" s="920">
        <f>+SUM(D45:D48)</f>
        <v>397128100758.15308</v>
      </c>
    </row>
    <row r="45" spans="1:4" ht="13.5" customHeight="1">
      <c r="A45" s="291"/>
      <c r="B45" s="308" t="s">
        <v>178</v>
      </c>
      <c r="C45" s="918">
        <v>424253569225</v>
      </c>
      <c r="D45" s="931">
        <v>397128100758.15308</v>
      </c>
    </row>
    <row r="46" spans="1:4" ht="13.5" customHeight="1">
      <c r="A46" s="291"/>
      <c r="B46" s="311" t="s">
        <v>177</v>
      </c>
      <c r="C46" s="918">
        <v>0</v>
      </c>
      <c r="D46" s="931">
        <v>0</v>
      </c>
    </row>
    <row r="47" spans="1:4" ht="13.5" customHeight="1">
      <c r="A47" s="291"/>
      <c r="B47" s="310" t="s">
        <v>112</v>
      </c>
      <c r="C47" s="918">
        <v>0</v>
      </c>
      <c r="D47" s="931">
        <v>0</v>
      </c>
    </row>
    <row r="48" spans="1:4" ht="13.5" customHeight="1">
      <c r="A48" s="291"/>
      <c r="B48" s="305"/>
      <c r="C48" s="918">
        <v>0</v>
      </c>
      <c r="D48" s="931">
        <v>0</v>
      </c>
    </row>
    <row r="49" spans="1:4" s="307" customFormat="1" ht="13.5" customHeight="1">
      <c r="A49" s="292">
        <v>3.2</v>
      </c>
      <c r="B49" s="309" t="s">
        <v>95</v>
      </c>
      <c r="C49" s="910">
        <v>-453146604376.13824</v>
      </c>
      <c r="D49" s="920">
        <f>+SUM(D50:D54)</f>
        <v>-423461882445.37787</v>
      </c>
    </row>
    <row r="50" spans="1:4" ht="13.5" customHeight="1">
      <c r="A50" s="291"/>
      <c r="B50" s="310" t="s">
        <v>113</v>
      </c>
      <c r="C50" s="921">
        <v>-451829406268.10596</v>
      </c>
      <c r="D50" s="931">
        <v>-424386062241.12817</v>
      </c>
    </row>
    <row r="51" spans="1:4" ht="13.5" customHeight="1">
      <c r="A51" s="291"/>
      <c r="B51" s="308" t="s">
        <v>174</v>
      </c>
      <c r="C51" s="921">
        <v>0</v>
      </c>
      <c r="D51" s="931">
        <v>0</v>
      </c>
    </row>
    <row r="52" spans="1:4" ht="13.5" customHeight="1">
      <c r="A52" s="291"/>
      <c r="B52" s="308" t="s">
        <v>175</v>
      </c>
      <c r="C52" s="921">
        <v>0</v>
      </c>
      <c r="D52" s="931">
        <v>0</v>
      </c>
    </row>
    <row r="53" spans="1:4" ht="13.5" customHeight="1">
      <c r="A53" s="291"/>
      <c r="B53" s="308" t="s">
        <v>1440</v>
      </c>
      <c r="C53" s="921">
        <v>-99740.24</v>
      </c>
      <c r="D53" s="931">
        <v>-247168.40000000002</v>
      </c>
    </row>
    <row r="54" spans="1:4" ht="13.5" customHeight="1">
      <c r="A54" s="291"/>
      <c r="B54" s="924" t="s">
        <v>1439</v>
      </c>
      <c r="C54" s="922">
        <v>-1317098367.7922904</v>
      </c>
      <c r="D54" s="931">
        <v>924426964.15034509</v>
      </c>
    </row>
    <row r="55" spans="1:4" s="307" customFormat="1" ht="13.5" customHeight="1">
      <c r="A55" s="292">
        <v>3.3</v>
      </c>
      <c r="B55" s="309" t="s">
        <v>126</v>
      </c>
      <c r="C55" s="910">
        <v>-28893035151.138245</v>
      </c>
      <c r="D55" s="920">
        <f>+D44+D49</f>
        <v>-26333781687.224792</v>
      </c>
    </row>
    <row r="56" spans="1:4" s="307" customFormat="1" ht="13.5" customHeight="1">
      <c r="A56" s="292">
        <v>4</v>
      </c>
      <c r="B56" s="309" t="s">
        <v>125</v>
      </c>
      <c r="C56" s="910">
        <v>-8409265849.9169388</v>
      </c>
      <c r="D56" s="920">
        <f>+D24+D42+D55</f>
        <v>4645440226.8848648</v>
      </c>
    </row>
    <row r="57" spans="1:4" ht="13.5" customHeight="1">
      <c r="A57" s="292">
        <v>5</v>
      </c>
      <c r="B57" s="309" t="s">
        <v>127</v>
      </c>
      <c r="C57" s="919">
        <v>12798744931.553898</v>
      </c>
      <c r="D57" s="920">
        <f>+C58</f>
        <v>4389479081.6369591</v>
      </c>
    </row>
    <row r="58" spans="1:4" ht="13.5" customHeight="1">
      <c r="A58" s="292">
        <v>6</v>
      </c>
      <c r="B58" s="305" t="s">
        <v>1009</v>
      </c>
      <c r="C58" s="910">
        <v>4389479081.6369591</v>
      </c>
      <c r="D58" s="920">
        <f>+D57+D56</f>
        <v>9034919308.5218239</v>
      </c>
    </row>
    <row r="59" spans="1:4" ht="12" customHeight="1"/>
    <row r="60" spans="1:4" ht="16.5" customHeight="1">
      <c r="A60" s="289"/>
      <c r="B60" s="288" t="str">
        <f>+income!B37</f>
        <v xml:space="preserve">                                       Гүйцэтгэх  Захирал:                                   ________________                /Ц.Баатарсайхан/</v>
      </c>
      <c r="C60" s="320"/>
    </row>
    <row r="61" spans="1:4" ht="10.5" customHeight="1"/>
    <row r="62" spans="1:4" ht="15" customHeight="1">
      <c r="A62" s="925"/>
      <c r="B62" s="288" t="str">
        <f>+income!B39</f>
        <v xml:space="preserve">                                       Санхүү бүртгэл хариуцсан захирал:        ________________               /Д.Содгэрэл/</v>
      </c>
      <c r="C62" s="320"/>
    </row>
  </sheetData>
  <mergeCells count="1">
    <mergeCell ref="A1:D1"/>
  </mergeCells>
  <phoneticPr fontId="9" type="noConversion"/>
  <printOptions horizontalCentered="1"/>
  <pageMargins left="0.55000000000000004" right="0.33" top="0.22" bottom="0.2" header="0.17" footer="0.15"/>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16</vt:i4>
      </vt:variant>
    </vt:vector>
  </HeadingPairs>
  <TitlesOfParts>
    <vt:vector size="47" baseType="lpstr">
      <vt:lpstr>nuur</vt:lpstr>
      <vt:lpstr>BL mn</vt:lpstr>
      <vt:lpstr>nuur1</vt:lpstr>
      <vt:lpstr>balance</vt:lpstr>
      <vt:lpstr>Balanc GOYO</vt:lpstr>
      <vt:lpstr>NEGTGESEN BALANC</vt:lpstr>
      <vt:lpstr>IS</vt:lpstr>
      <vt:lpstr>income</vt:lpstr>
      <vt:lpstr>cash flow</vt:lpstr>
      <vt:lpstr>capital pr</vt:lpstr>
      <vt:lpstr>NEGTGESEN CF</vt:lpstr>
      <vt:lpstr>equ</vt:lpstr>
      <vt:lpstr>EQU GOYO</vt:lpstr>
      <vt:lpstr>NEGTGESEN EQU</vt:lpstr>
      <vt:lpstr>Тодруулга 20191231</vt:lpstr>
      <vt:lpstr>TOD2017_201805</vt:lpstr>
      <vt:lpstr>Sheet1</vt:lpstr>
      <vt:lpstr>todruulgaCash&gt;avlaga</vt:lpstr>
      <vt:lpstr>tod avlaga hevleh</vt:lpstr>
      <vt:lpstr>todruulga-Undsen hurungu</vt:lpstr>
      <vt:lpstr>tod undsen hevleh</vt:lpstr>
      <vt:lpstr>todruulga-ur tulbur</vt:lpstr>
      <vt:lpstr>tod ur tul</vt:lpstr>
      <vt:lpstr>Monthly</vt:lpstr>
      <vt:lpstr>todruulga-Zardal</vt:lpstr>
      <vt:lpstr>todruulga zardal</vt:lpstr>
      <vt:lpstr>todruulga-busad</vt:lpstr>
      <vt:lpstr>tod busad</vt:lpstr>
      <vt:lpstr>hansh</vt:lpstr>
      <vt:lpstr>hansh 2015</vt:lpstr>
      <vt:lpstr>XXM</vt:lpstr>
      <vt:lpstr>balance!Print_Area</vt:lpstr>
      <vt:lpstr>'cash flow'!Print_Area</vt:lpstr>
      <vt:lpstr>equ!Print_Area</vt:lpstr>
      <vt:lpstr>income!Print_Area</vt:lpstr>
      <vt:lpstr>'tod avlaga hevleh'!Print_Area</vt:lpstr>
      <vt:lpstr>'tod busad'!Print_Area</vt:lpstr>
      <vt:lpstr>'tod undsen hevleh'!Print_Area</vt:lpstr>
      <vt:lpstr>'tod ur tul'!Print_Area</vt:lpstr>
      <vt:lpstr>TOD2017_201805!Print_Area</vt:lpstr>
      <vt:lpstr>'todruulga zardal'!Print_Area</vt:lpstr>
      <vt:lpstr>'todruulga-busad'!Print_Area</vt:lpstr>
      <vt:lpstr>'todruulgaCash&gt;avlaga'!Print_Area</vt:lpstr>
      <vt:lpstr>'todruulga-Undsen hurungu'!Print_Area</vt:lpstr>
      <vt:lpstr>'todruulga-ur tulbur'!Print_Area</vt:lpstr>
      <vt:lpstr>'todruulga-Zardal'!Print_Area</vt:lpstr>
      <vt:lpstr>'tod undsen hevleh'!Print_Titles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Gobi</dc:creator>
  <cp:lastModifiedBy>User</cp:lastModifiedBy>
  <cp:lastPrinted>2022-02-07T06:33:09Z</cp:lastPrinted>
  <dcterms:created xsi:type="dcterms:W3CDTF">2012-09-29T08:23:33Z</dcterms:created>
  <dcterms:modified xsi:type="dcterms:W3CDTF">2023-03-31T03:58:52Z</dcterms:modified>
</cp:coreProperties>
</file>