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62\Members\Арилжааны тайлан\2018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Sheet1!$A$1:$O$78</definedName>
  </definedNames>
  <calcPr calcId="152511"/>
</workbook>
</file>

<file path=xl/calcChain.xml><?xml version="1.0" encoding="utf-8"?>
<calcChain xmlns="http://schemas.openxmlformats.org/spreadsheetml/2006/main">
  <c r="N74" i="1" l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20" i="1"/>
  <c r="N18" i="1"/>
  <c r="N17" i="1"/>
  <c r="N16" i="1"/>
  <c r="J17" i="1" l="1"/>
  <c r="J18" i="1"/>
  <c r="J20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16" i="1"/>
  <c r="H17" i="1"/>
  <c r="H18" i="1"/>
  <c r="H20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6" i="1"/>
  <c r="G17" i="1"/>
  <c r="G18" i="1"/>
  <c r="G20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6" i="1"/>
  <c r="I18" i="1" l="1"/>
  <c r="I17" i="1"/>
  <c r="I21" i="1"/>
  <c r="I20" i="1"/>
  <c r="I24" i="1"/>
  <c r="I19" i="1"/>
  <c r="I25" i="1"/>
  <c r="I23" i="1"/>
  <c r="I22" i="1"/>
  <c r="I26" i="1"/>
  <c r="I29" i="1"/>
  <c r="I30" i="1"/>
  <c r="I31" i="1"/>
  <c r="I28" i="1"/>
  <c r="I33" i="1"/>
  <c r="I32" i="1"/>
  <c r="I27" i="1"/>
  <c r="I35" i="1"/>
  <c r="I34" i="1"/>
  <c r="I38" i="1"/>
  <c r="I41" i="1"/>
  <c r="I40" i="1"/>
  <c r="I42" i="1"/>
  <c r="I39" i="1"/>
  <c r="I44" i="1"/>
  <c r="I36" i="1"/>
  <c r="I43" i="1"/>
  <c r="I37" i="1"/>
  <c r="I46" i="1"/>
  <c r="I49" i="1"/>
  <c r="I45" i="1"/>
  <c r="I50" i="1"/>
  <c r="I48" i="1"/>
  <c r="I53" i="1"/>
  <c r="I54" i="1"/>
  <c r="I51" i="1"/>
  <c r="I55" i="1"/>
  <c r="I57" i="1"/>
  <c r="I52" i="1"/>
  <c r="I47" i="1"/>
  <c r="I58" i="1"/>
  <c r="I60" i="1"/>
  <c r="I56" i="1"/>
  <c r="I68" i="1"/>
  <c r="I59" i="1"/>
  <c r="I69" i="1"/>
  <c r="I70" i="1"/>
  <c r="I71" i="1"/>
  <c r="I61" i="1"/>
  <c r="I66" i="1"/>
  <c r="I64" i="1"/>
  <c r="I62" i="1"/>
  <c r="I65" i="1"/>
  <c r="I67" i="1"/>
  <c r="I63" i="1"/>
  <c r="I72" i="1"/>
  <c r="I73" i="1"/>
  <c r="I74" i="1"/>
  <c r="I16" i="1"/>
  <c r="D75" i="1" l="1"/>
  <c r="M35" i="1" l="1"/>
  <c r="M36" i="1"/>
  <c r="M53" i="1"/>
  <c r="M66" i="1"/>
  <c r="M67" i="1"/>
  <c r="M74" i="1"/>
  <c r="M16" i="1"/>
  <c r="M20" i="1"/>
  <c r="M23" i="1"/>
  <c r="M30" i="1"/>
  <c r="M32" i="1"/>
  <c r="M38" i="1"/>
  <c r="M39" i="1"/>
  <c r="M37" i="1"/>
  <c r="M50" i="1"/>
  <c r="M51" i="1"/>
  <c r="M47" i="1"/>
  <c r="M68" i="1"/>
  <c r="M71" i="1"/>
  <c r="M62" i="1"/>
  <c r="M72" i="1"/>
  <c r="M17" i="1"/>
  <c r="M19" i="1"/>
  <c r="M26" i="1"/>
  <c r="M28" i="1"/>
  <c r="M40" i="1"/>
  <c r="M49" i="1"/>
  <c r="M57" i="1"/>
  <c r="M60" i="1"/>
  <c r="M69" i="1"/>
  <c r="M18" i="1"/>
  <c r="M21" i="1"/>
  <c r="M24" i="1"/>
  <c r="M25" i="1"/>
  <c r="M22" i="1"/>
  <c r="M29" i="1"/>
  <c r="M31" i="1"/>
  <c r="M33" i="1"/>
  <c r="M27" i="1"/>
  <c r="M34" i="1"/>
  <c r="M41" i="1"/>
  <c r="M42" i="1"/>
  <c r="M44" i="1"/>
  <c r="M43" i="1"/>
  <c r="M46" i="1"/>
  <c r="M45" i="1"/>
  <c r="M48" i="1"/>
  <c r="M54" i="1"/>
  <c r="M55" i="1"/>
  <c r="M52" i="1"/>
  <c r="M58" i="1"/>
  <c r="M56" i="1"/>
  <c r="M59" i="1"/>
  <c r="M70" i="1"/>
  <c r="M61" i="1"/>
  <c r="M64" i="1"/>
  <c r="M65" i="1"/>
  <c r="M63" i="1"/>
  <c r="M73" i="1"/>
  <c r="M75" i="1" l="1"/>
  <c r="K75" i="1"/>
  <c r="E75" i="1" l="1"/>
  <c r="F75" i="1"/>
  <c r="N75" i="1" l="1"/>
  <c r="H75" i="1"/>
  <c r="L75" i="1"/>
  <c r="G75" i="1"/>
  <c r="I75" i="1"/>
  <c r="O67" i="1" l="1"/>
  <c r="O66" i="1"/>
  <c r="O69" i="1"/>
  <c r="O60" i="1"/>
  <c r="O57" i="1"/>
  <c r="O53" i="1"/>
  <c r="O49" i="1"/>
  <c r="O36" i="1"/>
  <c r="O40" i="1"/>
  <c r="O35" i="1"/>
  <c r="O28" i="1"/>
  <c r="O26" i="1"/>
  <c r="O19" i="1"/>
  <c r="O17" i="1"/>
  <c r="O65" i="1"/>
  <c r="O58" i="1"/>
  <c r="O55" i="1"/>
  <c r="O48" i="1"/>
  <c r="O46" i="1"/>
  <c r="O41" i="1"/>
  <c r="O18" i="1"/>
  <c r="O73" i="1"/>
  <c r="O61" i="1"/>
  <c r="O59" i="1"/>
  <c r="O44" i="1"/>
  <c r="O27" i="1"/>
  <c r="O31" i="1"/>
  <c r="O22" i="1"/>
  <c r="O24" i="1"/>
  <c r="O29" i="1"/>
  <c r="O43" i="1"/>
  <c r="O56" i="1"/>
  <c r="O16" i="1"/>
  <c r="O32" i="1"/>
  <c r="O50" i="1"/>
  <c r="O71" i="1"/>
  <c r="O74" i="1"/>
  <c r="O33" i="1"/>
  <c r="O45" i="1"/>
  <c r="O70" i="1"/>
  <c r="O20" i="1"/>
  <c r="O38" i="1"/>
  <c r="O51" i="1"/>
  <c r="O62" i="1"/>
  <c r="O34" i="1"/>
  <c r="O54" i="1"/>
  <c r="O64" i="1"/>
  <c r="O23" i="1"/>
  <c r="O39" i="1"/>
  <c r="O47" i="1"/>
  <c r="O72" i="1"/>
  <c r="O25" i="1"/>
  <c r="O42" i="1"/>
  <c r="O52" i="1"/>
  <c r="O63" i="1"/>
  <c r="O30" i="1"/>
  <c r="O37" i="1"/>
  <c r="O68" i="1"/>
  <c r="O21" i="1"/>
  <c r="J75" i="1"/>
  <c r="O75" i="1" l="1"/>
</calcChain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<sst xmlns="http://schemas.openxmlformats.org/spreadsheetml/2006/main" count="228" uniqueCount="139">
  <si>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</si>
  <si>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</si>
  <si>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</si>
  <si>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</si>
  <si>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</si>
  <si>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</si>
  <si>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</si>
  <si>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</si>
  <si>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</si>
  <si>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</si>
  <si>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</si>
  <si>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</si>
  <si>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</si>
  <si>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</si>
  <si>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</si>
  <si>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</si>
  <si>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</si>
  <si>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</si>
  <si>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</si>
  <si>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</si>
  <si>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</si>
  <si>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</si>
  <si>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</si>
  <si>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</si>
  <si>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</si>
  <si>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</si>
  <si>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</si>
  <si>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</si>
  <si>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</si>
  <si>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</si>
  <si>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</si>
  <si>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</si>
  <si>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</si>
  <si>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</si>
  <si>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</si>
  <si>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</si>
  <si>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</si>
  <si>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</si>
  <si>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</si>
  <si>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</si>
  <si>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</si>
  <si>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</si>
  <si>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</si>
  <si>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</si>
  <si>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</si>
  <si>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</si>
  <si>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</si>
  <si>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</si>
  <si>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</si>
  <si>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</si>
  <si>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</si>
  <si>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</si>
  <si>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</si>
  <si>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</si>
  <si>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</si>
  <si>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</si>
  <si>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</si>
  <si>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</si>
  <si>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</si>
  <si>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</si>
  <si>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</si>
  <si>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</si>
  <si>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</si>
  <si>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</si>
  <si>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</si>
  <si>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</si>
  <si>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</si>
  <si>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</si>
  <si>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</si>
  <si>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</si>
  <si>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</si>
  <si>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</si>
  <si>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</si>
  <si>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</si>
  <si>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</si>
  <si>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</si>
  <si>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</si>
  <si>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</si>
  <si>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</si>
  <si>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</si>
  <si>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</si>
  <si>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</si>
  <si>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</si>
  <si>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</si>
  <si>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</si>
  <si>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</si>
  <si>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</si>
  <si>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</si>
  <si>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</si>
  <si>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</si>
  <si>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</si>
  <si>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</si>
  <si>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</si>
  <si>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</si>
  <si>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</si>
  <si>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</si>
  <si>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</si>
  <si>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</si>
  <si>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</si>
  <si>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</si>
  <si>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</si>
  <si>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</si>
  <si>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</si>
  <si>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</si>
  <si>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</si>
  <si>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</si>
  <si>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</si>
  <si>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</si>
  <si>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</si>
  <si>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</si>
  <si>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</si>
  <si>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</si>
  <si>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</si>
  <si>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</si>
  <si>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</si>
  <si>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</si>
  <si>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</si>
  <si>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</si>
  <si>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</si>
  <si>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</si>
  <si>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</si>
  <si>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</si>
  <si>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</si>
  <si>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</si>
  <si>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</si>
  <si>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</si>
  <si>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</si>
  <si>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</si>
  <si>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</si>
  <si>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</si>
  <si>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</si>
  <si>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</si>
  <si>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</si>
  <si>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</si>
  <si>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</si>
  <si>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</si>
  <si>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</si>
  <si>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10-р сарын арилжааны дүн</t>
  </si>
  <si>
    <t xml:space="preserve">2018 оны 10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</si>
</sst>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/>
    </xf>
    <xf numFmtId="43" fontId="8" fillId="4" borderId="10" xfId="1" applyFont="1" applyFill="1" applyBorder="1" applyAlignment="1">
      <alignment horizontal="center" vertical="center"/>
    </xf>
    <xf numFmtId="9" fontId="8" fillId="4" borderId="10" xfId="2" applyFont="1" applyFill="1" applyBorder="1" applyAlignment="1">
      <alignment horizontal="center" vertical="center"/>
    </xf>
    <xf numFmtId="165" fontId="2" fillId="4" borderId="14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6296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63039816.549999997</v>
          </cell>
          <cell r="F10">
            <v>2777</v>
          </cell>
          <cell r="G10">
            <v>7969569</v>
          </cell>
          <cell r="H10">
            <v>71009385.549999997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22681656.199999999</v>
          </cell>
          <cell r="H11">
            <v>22739656.199999999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85297430.159999996</v>
          </cell>
          <cell r="F12">
            <v>69593</v>
          </cell>
          <cell r="G12">
            <v>43290121.200000003</v>
          </cell>
          <cell r="H12">
            <v>128587551.36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1404971355.4100001</v>
          </cell>
          <cell r="H16">
            <v>2428060602.9500003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48692060.090000004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16471844.189999999</v>
          </cell>
          <cell r="H19">
            <v>47393424.189999998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434635780.02999997</v>
          </cell>
          <cell r="F22">
            <v>1291565</v>
          </cell>
          <cell r="G22">
            <v>382155274.86000001</v>
          </cell>
          <cell r="H22">
            <v>816791054.88999999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1877749848.5999999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87299185.980000004</v>
          </cell>
          <cell r="H34">
            <v>240380516.92000002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77990465.219999999</v>
          </cell>
          <cell r="F36">
            <v>199138</v>
          </cell>
          <cell r="G36">
            <v>95516526</v>
          </cell>
          <cell r="H36">
            <v>173506991.22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1487281720.8399999</v>
          </cell>
          <cell r="F37">
            <v>1795348</v>
          </cell>
          <cell r="G37">
            <v>645028059.55999994</v>
          </cell>
          <cell r="H37">
            <v>2132309780.3999999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10274279.699999999</v>
          </cell>
          <cell r="F40">
            <v>44127</v>
          </cell>
          <cell r="G40">
            <v>108421259</v>
          </cell>
          <cell r="H40">
            <v>118695538.7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729378733.54999995</v>
          </cell>
          <cell r="H46">
            <v>2028264638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57587228.520000003</v>
          </cell>
          <cell r="F49">
            <v>79342</v>
          </cell>
          <cell r="G49">
            <v>45831690.5</v>
          </cell>
          <cell r="H49">
            <v>103418919.02000001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247310750.28999999</v>
          </cell>
          <cell r="F51">
            <v>518698</v>
          </cell>
          <cell r="G51">
            <v>356532819.19999999</v>
          </cell>
          <cell r="H51">
            <v>603843569.49000001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1244594320.1500001</v>
          </cell>
          <cell r="F58">
            <v>8527707</v>
          </cell>
          <cell r="G58">
            <v>1760027371.4200001</v>
          </cell>
          <cell r="H58">
            <v>3004621691.5700002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20111987.699999999</v>
          </cell>
          <cell r="F60">
            <v>24150</v>
          </cell>
          <cell r="G60">
            <v>42976506.369999997</v>
          </cell>
          <cell r="H60">
            <v>63088494.069999993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370018421.44999999</v>
          </cell>
          <cell r="F61">
            <v>1688974</v>
          </cell>
          <cell r="G61">
            <v>375884642.20999998</v>
          </cell>
          <cell r="H61">
            <v>745903063.65999997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6674661.3200000003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61510108.149999999</v>
          </cell>
          <cell r="F63">
            <v>109883</v>
          </cell>
          <cell r="G63">
            <v>67899052.599999994</v>
          </cell>
          <cell r="H63">
            <v>129409160.75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46333995.189999998</v>
          </cell>
          <cell r="F67">
            <v>62318</v>
          </cell>
          <cell r="G67">
            <v>34031630</v>
          </cell>
          <cell r="H67">
            <v>80365625.189999998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12296867.279999999</v>
          </cell>
          <cell r="F12">
            <v>158807</v>
          </cell>
          <cell r="G12">
            <v>67925046.560000002</v>
          </cell>
          <cell r="H12">
            <v>80221913.840000004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187047421.90000001</v>
          </cell>
          <cell r="H22">
            <v>312973176.89999998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361549964.89999998</v>
          </cell>
          <cell r="F23">
            <v>5582141</v>
          </cell>
          <cell r="G23">
            <v>372842747.69999999</v>
          </cell>
          <cell r="H23">
            <v>734392712.5999999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6152201.5999999996</v>
          </cell>
          <cell r="F29">
            <v>20469</v>
          </cell>
          <cell r="G29">
            <v>7924361.5999999996</v>
          </cell>
          <cell r="H29">
            <v>14076563.199999999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295964116.30000001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6916934.2000000002</v>
          </cell>
          <cell r="H36">
            <v>6948159.2000000002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371653081.19999999</v>
          </cell>
          <cell r="F37">
            <v>1114614</v>
          </cell>
          <cell r="G37">
            <v>168854464.40000001</v>
          </cell>
          <cell r="H37">
            <v>540507545.60000002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407148668.39999998</v>
          </cell>
          <cell r="F46">
            <v>556723</v>
          </cell>
          <cell r="G46">
            <v>337924185.30000001</v>
          </cell>
          <cell r="H46">
            <v>745072853.70000005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12582902.199999999</v>
          </cell>
          <cell r="F49">
            <v>42053</v>
          </cell>
          <cell r="G49">
            <v>22088650.199999999</v>
          </cell>
          <cell r="H49">
            <v>34671552.399999999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61607897.859999999</v>
          </cell>
          <cell r="F51">
            <v>631710</v>
          </cell>
          <cell r="G51">
            <v>90321703.310000002</v>
          </cell>
          <cell r="H51">
            <v>151929601.17000002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90081537.469999999</v>
          </cell>
          <cell r="F58">
            <v>1233069</v>
          </cell>
          <cell r="G58">
            <v>121640755.09999999</v>
          </cell>
          <cell r="H58">
            <v>211722292.56999999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186577890.69999999</v>
          </cell>
          <cell r="H61">
            <v>365514032.69999999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17971855.260000002</v>
          </cell>
          <cell r="F63">
            <v>73375</v>
          </cell>
          <cell r="G63">
            <v>63722364.43</v>
          </cell>
          <cell r="H63">
            <v>81694219.689999998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32207355.579999998</v>
          </cell>
          <cell r="F67">
            <v>10316</v>
          </cell>
          <cell r="G67">
            <v>4070692.2</v>
          </cell>
          <cell r="H67">
            <v>36278047.780000001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329212468.39999998</v>
          </cell>
          <cell r="H16">
            <v>391709760</v>
          </cell>
          <cell r="I16">
            <v>0</v>
          </cell>
          <cell r="J16">
            <v>641815500</v>
          </cell>
          <cell r="K16">
            <v>0</v>
          </cell>
          <cell r="L16">
            <v>0</v>
          </cell>
          <cell r="M16">
            <v>1362737728.4000001</v>
          </cell>
          <cell r="N16">
            <v>48003858218.039993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3214862066.8199997</v>
          </cell>
          <cell r="H17">
            <v>16800000</v>
          </cell>
          <cell r="I17">
            <v>0</v>
          </cell>
          <cell r="J17">
            <v>7273765600</v>
          </cell>
          <cell r="K17">
            <v>0</v>
          </cell>
          <cell r="L17">
            <v>0</v>
          </cell>
          <cell r="M17">
            <v>10505427666.82</v>
          </cell>
          <cell r="N17">
            <v>34300637937.669998</v>
          </cell>
        </row>
        <row r="18">
          <cell r="B18" t="str">
            <v>NOVL</v>
          </cell>
          <cell r="C18" t="str">
            <v>"НОВЕЛ ИНВЕСТМЕНТ ҮЦК" ХХК</v>
          </cell>
          <cell r="D18" t="str">
            <v>●</v>
          </cell>
          <cell r="E18"/>
          <cell r="F18" t="str">
            <v>●</v>
          </cell>
          <cell r="G18">
            <v>337942623.78999996</v>
          </cell>
          <cell r="H18">
            <v>200000000</v>
          </cell>
          <cell r="I18">
            <v>0</v>
          </cell>
          <cell r="J18">
            <v>424455350</v>
          </cell>
          <cell r="K18">
            <v>0</v>
          </cell>
          <cell r="L18">
            <v>0</v>
          </cell>
          <cell r="M18">
            <v>962397973.78999996</v>
          </cell>
          <cell r="N18">
            <v>26956901493.049999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782825424.5</v>
          </cell>
          <cell r="H19">
            <v>0</v>
          </cell>
          <cell r="I19">
            <v>0</v>
          </cell>
          <cell r="J19">
            <v>7464649600</v>
          </cell>
          <cell r="K19">
            <v>0</v>
          </cell>
          <cell r="L19">
            <v>0</v>
          </cell>
          <cell r="M19">
            <v>8247475024.5</v>
          </cell>
          <cell r="N19">
            <v>21308771705.610001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751038143.61000001</v>
          </cell>
          <cell r="H20">
            <v>0</v>
          </cell>
          <cell r="I20">
            <v>0</v>
          </cell>
          <cell r="J20">
            <v>11109681200</v>
          </cell>
          <cell r="K20">
            <v>0</v>
          </cell>
          <cell r="L20">
            <v>0</v>
          </cell>
          <cell r="M20">
            <v>11860719343.610001</v>
          </cell>
          <cell r="N20">
            <v>20227251959.800003</v>
          </cell>
        </row>
        <row r="21">
          <cell r="B21" t="str">
            <v>GAUL</v>
          </cell>
          <cell r="C21" t="str">
            <v>"ГАҮЛИ ҮЦК" ХХК</v>
          </cell>
          <cell r="D21" t="str">
            <v>●</v>
          </cell>
          <cell r="E21" t="str">
            <v>●</v>
          </cell>
          <cell r="F21"/>
          <cell r="G21">
            <v>308791643.80000001</v>
          </cell>
          <cell r="H21">
            <v>0</v>
          </cell>
          <cell r="I21">
            <v>0</v>
          </cell>
          <cell r="J21">
            <v>62218250</v>
          </cell>
          <cell r="K21">
            <v>0</v>
          </cell>
          <cell r="L21">
            <v>0</v>
          </cell>
          <cell r="M21">
            <v>371009893.80000001</v>
          </cell>
          <cell r="N21">
            <v>18249355674</v>
          </cell>
        </row>
        <row r="22">
          <cell r="B22" t="str">
            <v>DELG</v>
          </cell>
          <cell r="C22" t="str">
            <v>"ДЭЛГЭРХАНГАЙ СЕКЮРИТИЗ ҮЦК" ХХК</v>
          </cell>
          <cell r="D22" t="str">
            <v>●</v>
          </cell>
          <cell r="E22"/>
          <cell r="F22"/>
          <cell r="G22">
            <v>3707350</v>
          </cell>
          <cell r="H22">
            <v>0</v>
          </cell>
          <cell r="I22">
            <v>0</v>
          </cell>
          <cell r="J22">
            <v>7713300</v>
          </cell>
          <cell r="K22">
            <v>0</v>
          </cell>
          <cell r="L22">
            <v>0</v>
          </cell>
          <cell r="M22">
            <v>11420650</v>
          </cell>
          <cell r="N22">
            <v>7833375671.7400007</v>
          </cell>
        </row>
        <row r="23">
          <cell r="B23" t="str">
            <v>MNET</v>
          </cell>
          <cell r="C23" t="str">
            <v>"АРД СЕКЬЮРИТИЗ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164976653.44</v>
          </cell>
          <cell r="H23">
            <v>0</v>
          </cell>
          <cell r="I23">
            <v>0</v>
          </cell>
          <cell r="J23">
            <v>2471072450</v>
          </cell>
          <cell r="K23">
            <v>0</v>
          </cell>
          <cell r="L23">
            <v>0</v>
          </cell>
          <cell r="M23">
            <v>2636049103.4400001</v>
          </cell>
          <cell r="N23">
            <v>6481144204.3900013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F24"/>
          <cell r="G24">
            <v>469125790.72000003</v>
          </cell>
          <cell r="H24">
            <v>103280</v>
          </cell>
          <cell r="I24">
            <v>0</v>
          </cell>
          <cell r="J24">
            <v>483559250</v>
          </cell>
          <cell r="K24">
            <v>0</v>
          </cell>
          <cell r="L24">
            <v>0</v>
          </cell>
          <cell r="M24">
            <v>952788320.72000003</v>
          </cell>
          <cell r="N24">
            <v>6211315235.1399994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299480535.44999999</v>
          </cell>
          <cell r="H25">
            <v>0</v>
          </cell>
          <cell r="I25">
            <v>0</v>
          </cell>
          <cell r="J25">
            <v>503870100</v>
          </cell>
          <cell r="K25">
            <v>0</v>
          </cell>
          <cell r="L25">
            <v>0</v>
          </cell>
          <cell r="M25">
            <v>803350635.45000005</v>
          </cell>
          <cell r="N25">
            <v>5327005104.79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/>
          <cell r="G26">
            <v>297293434.90000004</v>
          </cell>
          <cell r="H26">
            <v>0</v>
          </cell>
          <cell r="I26">
            <v>0</v>
          </cell>
          <cell r="J26">
            <v>1116069100</v>
          </cell>
          <cell r="K26">
            <v>0</v>
          </cell>
          <cell r="L26">
            <v>0</v>
          </cell>
          <cell r="M26">
            <v>1413362534.9000001</v>
          </cell>
          <cell r="N26">
            <v>4095595426.5800004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/>
          <cell r="F27"/>
          <cell r="G27">
            <v>105099064.3</v>
          </cell>
          <cell r="H27">
            <v>0</v>
          </cell>
          <cell r="I27">
            <v>0</v>
          </cell>
          <cell r="J27">
            <v>559145500</v>
          </cell>
          <cell r="K27">
            <v>0</v>
          </cell>
          <cell r="L27">
            <v>0</v>
          </cell>
          <cell r="M27">
            <v>664244564.29999995</v>
          </cell>
          <cell r="N27">
            <v>1400068831.05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F28"/>
          <cell r="G28">
            <v>62039217.420000002</v>
          </cell>
          <cell r="H28">
            <v>0</v>
          </cell>
          <cell r="I28">
            <v>0</v>
          </cell>
          <cell r="J28">
            <v>418227100</v>
          </cell>
          <cell r="K28">
            <v>0</v>
          </cell>
          <cell r="L28">
            <v>0</v>
          </cell>
          <cell r="M28">
            <v>480266317.42000002</v>
          </cell>
          <cell r="N28">
            <v>1395465529.8199999</v>
          </cell>
        </row>
        <row r="29">
          <cell r="B29" t="str">
            <v>BLMB</v>
          </cell>
          <cell r="C29" t="str">
            <v xml:space="preserve">"БЛҮМСБЮРИ СЕКЮРИТИЕС ҮЦК" ХХК </v>
          </cell>
          <cell r="D29" t="str">
            <v>●</v>
          </cell>
          <cell r="E29" t="str">
            <v>●</v>
          </cell>
          <cell r="F29"/>
          <cell r="G29">
            <v>18589478.899999999</v>
          </cell>
          <cell r="H29">
            <v>0</v>
          </cell>
          <cell r="I29">
            <v>0</v>
          </cell>
          <cell r="J29">
            <v>1440000</v>
          </cell>
          <cell r="K29">
            <v>0</v>
          </cell>
          <cell r="L29">
            <v>0</v>
          </cell>
          <cell r="M29">
            <v>20029478.899999999</v>
          </cell>
          <cell r="N29">
            <v>1334656457.4699998</v>
          </cell>
        </row>
        <row r="30">
          <cell r="B30" t="str">
            <v>BATS</v>
          </cell>
          <cell r="C30" t="str">
            <v>"БАТС ҮЦК" ХХК</v>
          </cell>
          <cell r="D30" t="str">
            <v>●</v>
          </cell>
          <cell r="E30"/>
          <cell r="F30"/>
          <cell r="G30">
            <v>25524100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25524100</v>
          </cell>
          <cell r="N30">
            <v>873879902.00999999</v>
          </cell>
        </row>
        <row r="31">
          <cell r="B31" t="str">
            <v>SANR</v>
          </cell>
          <cell r="C31" t="str">
            <v>"САНАР ҮЦК" ХХК</v>
          </cell>
          <cell r="D31" t="str">
            <v>●</v>
          </cell>
          <cell r="E31"/>
          <cell r="F31"/>
          <cell r="G31">
            <v>139495685.72999999</v>
          </cell>
          <cell r="H31">
            <v>0</v>
          </cell>
          <cell r="I31">
            <v>0</v>
          </cell>
          <cell r="J31">
            <v>2193800</v>
          </cell>
          <cell r="K31">
            <v>0</v>
          </cell>
          <cell r="L31">
            <v>0</v>
          </cell>
          <cell r="M31">
            <v>141689485.72999999</v>
          </cell>
          <cell r="N31">
            <v>797583341.43000007</v>
          </cell>
        </row>
        <row r="32">
          <cell r="B32" t="str">
            <v>GNDX</v>
          </cell>
          <cell r="C32" t="str">
            <v>"ГЕНДЕКС ҮЦК" ХХК</v>
          </cell>
          <cell r="D32" t="str">
            <v>●</v>
          </cell>
          <cell r="E32"/>
          <cell r="F32"/>
          <cell r="G32">
            <v>28066917</v>
          </cell>
          <cell r="H32">
            <v>0</v>
          </cell>
          <cell r="I32">
            <v>0</v>
          </cell>
          <cell r="J32">
            <v>9926400</v>
          </cell>
          <cell r="K32">
            <v>0</v>
          </cell>
          <cell r="L32">
            <v>0</v>
          </cell>
          <cell r="M32">
            <v>37993317</v>
          </cell>
          <cell r="N32">
            <v>761383362.33999991</v>
          </cell>
        </row>
        <row r="33">
          <cell r="B33" t="str">
            <v>ECM</v>
          </cell>
          <cell r="C33" t="str">
            <v>"ЕВРАЗИА КАПИТАЛ ХОЛДИНГ ҮЦК" 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10945623.199999999</v>
          </cell>
          <cell r="H33">
            <v>0</v>
          </cell>
          <cell r="I33">
            <v>0</v>
          </cell>
          <cell r="J33">
            <v>1551200</v>
          </cell>
          <cell r="K33">
            <v>0</v>
          </cell>
          <cell r="L33">
            <v>0</v>
          </cell>
          <cell r="M33">
            <v>12496823.199999999</v>
          </cell>
          <cell r="N33">
            <v>654464750.97000003</v>
          </cell>
        </row>
        <row r="34">
          <cell r="B34" t="str">
            <v>TCHB</v>
          </cell>
          <cell r="C34" t="str">
            <v>"ТУЛГАТ ЧАНДМАНЬ БАЯН  ҮЦК" ХХК</v>
          </cell>
          <cell r="D34" t="str">
            <v>●</v>
          </cell>
          <cell r="E34"/>
          <cell r="F34"/>
          <cell r="G34">
            <v>26090568</v>
          </cell>
          <cell r="H34">
            <v>0</v>
          </cell>
          <cell r="I34">
            <v>0</v>
          </cell>
          <cell r="J34">
            <v>35115100</v>
          </cell>
          <cell r="K34">
            <v>0</v>
          </cell>
          <cell r="L34">
            <v>0</v>
          </cell>
          <cell r="M34">
            <v>61205668</v>
          </cell>
          <cell r="N34">
            <v>578092386.98000002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/>
          <cell r="F35"/>
          <cell r="G35">
            <v>33988736</v>
          </cell>
          <cell r="H35">
            <v>0</v>
          </cell>
          <cell r="I35">
            <v>0</v>
          </cell>
          <cell r="J35">
            <v>12363300</v>
          </cell>
          <cell r="K35">
            <v>0</v>
          </cell>
          <cell r="L35">
            <v>0</v>
          </cell>
          <cell r="M35">
            <v>46352036</v>
          </cell>
          <cell r="N35">
            <v>565900922.46000004</v>
          </cell>
        </row>
        <row r="36">
          <cell r="B36" t="str">
            <v>LFTI</v>
          </cell>
          <cell r="C36" t="str">
            <v>"ЛАЙФТАЙМ ИНВЕСТМЕНТ ҮЦК" ХХК</v>
          </cell>
          <cell r="D36" t="str">
            <v>●</v>
          </cell>
          <cell r="E36" t="str">
            <v>●</v>
          </cell>
          <cell r="F36"/>
          <cell r="G36">
            <v>30011343</v>
          </cell>
          <cell r="H36">
            <v>0</v>
          </cell>
          <cell r="I36">
            <v>0</v>
          </cell>
          <cell r="J36">
            <v>10582300</v>
          </cell>
          <cell r="K36">
            <v>0</v>
          </cell>
          <cell r="L36">
            <v>0</v>
          </cell>
          <cell r="M36">
            <v>40593643</v>
          </cell>
          <cell r="N36">
            <v>475609069.31000006</v>
          </cell>
        </row>
        <row r="37">
          <cell r="B37" t="str">
            <v>GDSC</v>
          </cell>
          <cell r="C37" t="str">
            <v>"ГҮҮДСЕК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74168112.170000002</v>
          </cell>
          <cell r="H37">
            <v>0</v>
          </cell>
          <cell r="I37">
            <v>0</v>
          </cell>
          <cell r="J37">
            <v>83030700</v>
          </cell>
          <cell r="K37">
            <v>0</v>
          </cell>
          <cell r="L37">
            <v>0</v>
          </cell>
          <cell r="M37">
            <v>157198812.17000002</v>
          </cell>
          <cell r="N37">
            <v>409787267.74000001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E38"/>
          <cell r="F38"/>
          <cell r="G38">
            <v>56447030</v>
          </cell>
          <cell r="H38">
            <v>0</v>
          </cell>
          <cell r="I38">
            <v>0</v>
          </cell>
          <cell r="J38">
            <v>850000</v>
          </cell>
          <cell r="K38">
            <v>0</v>
          </cell>
          <cell r="L38">
            <v>0</v>
          </cell>
          <cell r="M38">
            <v>57297030</v>
          </cell>
          <cell r="N38">
            <v>381340349.83999997</v>
          </cell>
        </row>
        <row r="39">
          <cell r="B39" t="str">
            <v>HUN</v>
          </cell>
          <cell r="C39" t="str">
            <v>"ХҮННҮ ЭМПАЙР ҮЦК" ХХК</v>
          </cell>
          <cell r="D39" t="str">
            <v>●</v>
          </cell>
          <cell r="E39"/>
          <cell r="F39"/>
          <cell r="G39">
            <v>25084903</v>
          </cell>
          <cell r="H39">
            <v>0</v>
          </cell>
          <cell r="I39">
            <v>0</v>
          </cell>
          <cell r="J39">
            <v>112962900</v>
          </cell>
          <cell r="K39">
            <v>0</v>
          </cell>
          <cell r="L39">
            <v>0</v>
          </cell>
          <cell r="M39">
            <v>138047803</v>
          </cell>
          <cell r="N39">
            <v>375979131.45999998</v>
          </cell>
        </row>
        <row r="40">
          <cell r="B40" t="str">
            <v>TNGR</v>
          </cell>
          <cell r="C40" t="str">
            <v>"ТЭНГЭР КАПИТАЛ 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11717073</v>
          </cell>
          <cell r="H40">
            <v>0</v>
          </cell>
          <cell r="I40">
            <v>0</v>
          </cell>
          <cell r="J40">
            <v>40034800</v>
          </cell>
          <cell r="K40">
            <v>0</v>
          </cell>
          <cell r="L40">
            <v>0</v>
          </cell>
          <cell r="M40">
            <v>51751873</v>
          </cell>
          <cell r="N40">
            <v>371537189.32000005</v>
          </cell>
        </row>
        <row r="41">
          <cell r="B41" t="str">
            <v>TABO</v>
          </cell>
          <cell r="C41" t="str">
            <v>"ТАВАН БОГД ҮЦК" ХХК</v>
          </cell>
          <cell r="D41" t="str">
            <v>●</v>
          </cell>
          <cell r="E41"/>
          <cell r="F41"/>
          <cell r="G41">
            <v>8410060</v>
          </cell>
          <cell r="H41">
            <v>0</v>
          </cell>
          <cell r="I41">
            <v>0</v>
          </cell>
          <cell r="J41">
            <v>1526000</v>
          </cell>
          <cell r="K41">
            <v>0</v>
          </cell>
          <cell r="L41">
            <v>0</v>
          </cell>
          <cell r="M41">
            <v>9936060</v>
          </cell>
          <cell r="N41">
            <v>366518305.91999996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E42"/>
          <cell r="F42"/>
          <cell r="G42">
            <v>0</v>
          </cell>
          <cell r="H42">
            <v>0</v>
          </cell>
          <cell r="I42">
            <v>0</v>
          </cell>
          <cell r="J42">
            <v>7994700</v>
          </cell>
          <cell r="K42">
            <v>0</v>
          </cell>
          <cell r="L42">
            <v>0</v>
          </cell>
          <cell r="M42">
            <v>7994700</v>
          </cell>
          <cell r="N42">
            <v>308590521.88000005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F43"/>
          <cell r="G43">
            <v>44049420</v>
          </cell>
          <cell r="H43">
            <v>0</v>
          </cell>
          <cell r="I43">
            <v>0</v>
          </cell>
          <cell r="J43">
            <v>8236800</v>
          </cell>
          <cell r="K43">
            <v>0</v>
          </cell>
          <cell r="L43">
            <v>0</v>
          </cell>
          <cell r="M43">
            <v>52286220</v>
          </cell>
          <cell r="N43">
            <v>262418853.94999999</v>
          </cell>
        </row>
        <row r="44">
          <cell r="B44" t="str">
            <v>MERG</v>
          </cell>
          <cell r="C44" t="str">
            <v>"МЭРГЭН САНАА ҮЦК" ХХК</v>
          </cell>
          <cell r="D44" t="str">
            <v>●</v>
          </cell>
          <cell r="E44"/>
          <cell r="F44"/>
          <cell r="G44">
            <v>3248472</v>
          </cell>
          <cell r="H44">
            <v>0</v>
          </cell>
          <cell r="I44">
            <v>0</v>
          </cell>
          <cell r="J44">
            <v>4838800</v>
          </cell>
          <cell r="K44">
            <v>0</v>
          </cell>
          <cell r="L44">
            <v>0</v>
          </cell>
          <cell r="M44">
            <v>8087272</v>
          </cell>
          <cell r="N44">
            <v>256100733.36000001</v>
          </cell>
        </row>
        <row r="45">
          <cell r="B45" t="str">
            <v>BULG</v>
          </cell>
          <cell r="C45" t="str">
            <v>"БУЛГАН БРОКЕР ҮЦК" ХХК</v>
          </cell>
          <cell r="D45" t="str">
            <v>●</v>
          </cell>
          <cell r="E45"/>
          <cell r="F45"/>
          <cell r="G45">
            <v>16751530</v>
          </cell>
          <cell r="H45">
            <v>0</v>
          </cell>
          <cell r="I45">
            <v>0</v>
          </cell>
          <cell r="J45">
            <v>53030800</v>
          </cell>
          <cell r="K45">
            <v>0</v>
          </cell>
          <cell r="L45">
            <v>0</v>
          </cell>
          <cell r="M45">
            <v>69782330</v>
          </cell>
          <cell r="N45">
            <v>190232349.91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E46"/>
          <cell r="F46"/>
          <cell r="G46">
            <v>0</v>
          </cell>
          <cell r="H46">
            <v>0</v>
          </cell>
          <cell r="I46">
            <v>0</v>
          </cell>
          <cell r="J46">
            <v>4420500</v>
          </cell>
          <cell r="K46">
            <v>0</v>
          </cell>
          <cell r="L46">
            <v>0</v>
          </cell>
          <cell r="M46">
            <v>4420500</v>
          </cell>
          <cell r="N46">
            <v>176331062</v>
          </cell>
        </row>
        <row r="47">
          <cell r="B47" t="str">
            <v>UNDR</v>
          </cell>
          <cell r="C47" t="str">
            <v>"ӨНДӨРХААН ИНВЕСТ ҮЦК" ХХК</v>
          </cell>
          <cell r="D47" t="str">
            <v>●</v>
          </cell>
          <cell r="E47"/>
          <cell r="F47"/>
          <cell r="G47">
            <v>14131484</v>
          </cell>
          <cell r="H47">
            <v>0</v>
          </cell>
          <cell r="I47">
            <v>0</v>
          </cell>
          <cell r="J47">
            <v>1663200</v>
          </cell>
          <cell r="K47">
            <v>0</v>
          </cell>
          <cell r="L47">
            <v>0</v>
          </cell>
          <cell r="M47">
            <v>15794684</v>
          </cell>
          <cell r="N47">
            <v>165365166.82999998</v>
          </cell>
        </row>
        <row r="48">
          <cell r="B48" t="str">
            <v>MSDQ</v>
          </cell>
          <cell r="C48" t="str">
            <v>"МАСДАК ҮНЭТ ЦААСНЫ КОМПАНИ" ХХК</v>
          </cell>
          <cell r="D48" t="str">
            <v>●</v>
          </cell>
          <cell r="E48"/>
          <cell r="F48"/>
          <cell r="G48">
            <v>8600804.5</v>
          </cell>
          <cell r="H48">
            <v>0</v>
          </cell>
          <cell r="I48">
            <v>0</v>
          </cell>
          <cell r="J48">
            <v>1929900</v>
          </cell>
          <cell r="K48">
            <v>0</v>
          </cell>
          <cell r="L48">
            <v>0</v>
          </cell>
          <cell r="M48">
            <v>10530704.5</v>
          </cell>
          <cell r="N48">
            <v>135767444.64000002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38665584</v>
          </cell>
          <cell r="H49">
            <v>0</v>
          </cell>
          <cell r="I49">
            <v>0</v>
          </cell>
          <cell r="J49">
            <v>7620500</v>
          </cell>
          <cell r="K49">
            <v>0</v>
          </cell>
          <cell r="L49">
            <v>0</v>
          </cell>
          <cell r="M49">
            <v>46286084</v>
          </cell>
          <cell r="N49">
            <v>125192567.77</v>
          </cell>
        </row>
        <row r="50">
          <cell r="B50" t="str">
            <v>APS</v>
          </cell>
          <cell r="C50" t="str">
            <v>"АЗИА ПАСИФИК СЕКЬЮРИТИС ҮЦК" ХХК</v>
          </cell>
          <cell r="D50" t="str">
            <v>●</v>
          </cell>
          <cell r="E50"/>
          <cell r="F50"/>
          <cell r="G50">
            <v>4702130</v>
          </cell>
          <cell r="H50">
            <v>0</v>
          </cell>
          <cell r="I50">
            <v>0</v>
          </cell>
          <cell r="J50">
            <v>105000</v>
          </cell>
          <cell r="K50">
            <v>0</v>
          </cell>
          <cell r="L50">
            <v>0</v>
          </cell>
          <cell r="M50">
            <v>4807130</v>
          </cell>
          <cell r="N50">
            <v>107414587.40000001</v>
          </cell>
        </row>
        <row r="51">
          <cell r="B51" t="str">
            <v>BSK</v>
          </cell>
          <cell r="C51" t="str">
            <v>"БЛЮСКАЙ СЕКЬЮРИТИЗ ҮЦК" ХК</v>
          </cell>
          <cell r="D51" t="str">
            <v>●</v>
          </cell>
          <cell r="E51"/>
          <cell r="F51"/>
          <cell r="G51">
            <v>6663064</v>
          </cell>
          <cell r="H51">
            <v>0</v>
          </cell>
          <cell r="I51">
            <v>0</v>
          </cell>
          <cell r="J51">
            <v>1318800</v>
          </cell>
          <cell r="K51">
            <v>0</v>
          </cell>
          <cell r="L51">
            <v>0</v>
          </cell>
          <cell r="M51">
            <v>7981864</v>
          </cell>
          <cell r="N51">
            <v>85575685.23999998</v>
          </cell>
        </row>
        <row r="52">
          <cell r="B52" t="str">
            <v>BLAC</v>
          </cell>
          <cell r="C52" t="str">
            <v>"БЛЭКСТОУН ИНТЕРНЭЙШНЛ ҮЦК" ХХК</v>
          </cell>
          <cell r="D52" t="str">
            <v>●</v>
          </cell>
          <cell r="E52"/>
          <cell r="F52"/>
          <cell r="G52">
            <v>7695300</v>
          </cell>
          <cell r="H52">
            <v>0</v>
          </cell>
          <cell r="I52">
            <v>0</v>
          </cell>
          <cell r="J52">
            <v>22572200</v>
          </cell>
          <cell r="K52">
            <v>0</v>
          </cell>
          <cell r="L52">
            <v>0</v>
          </cell>
          <cell r="M52">
            <v>30267500</v>
          </cell>
          <cell r="N52">
            <v>81564304.120000005</v>
          </cell>
        </row>
        <row r="53">
          <cell r="B53" t="str">
            <v>ALTN</v>
          </cell>
          <cell r="C53" t="str">
            <v>"АЛТАН ХОРОМСОГ ҮЦК" ХХК</v>
          </cell>
          <cell r="D53" t="str">
            <v>●</v>
          </cell>
          <cell r="E53"/>
          <cell r="F53"/>
          <cell r="G53">
            <v>2061810</v>
          </cell>
          <cell r="H53">
            <v>0</v>
          </cell>
          <cell r="I53">
            <v>0</v>
          </cell>
          <cell r="J53">
            <v>1458100</v>
          </cell>
          <cell r="K53">
            <v>0</v>
          </cell>
          <cell r="L53">
            <v>0</v>
          </cell>
          <cell r="M53">
            <v>3519910</v>
          </cell>
          <cell r="N53">
            <v>79288513.719999999</v>
          </cell>
        </row>
        <row r="54">
          <cell r="B54" t="str">
            <v>MICC</v>
          </cell>
          <cell r="C54" t="str">
            <v>"ЭМ АЙ СИ СИ  ҮЦК" ХХК</v>
          </cell>
          <cell r="D54" t="str">
            <v>●</v>
          </cell>
          <cell r="E54" t="str">
            <v>●</v>
          </cell>
          <cell r="F54"/>
          <cell r="G54">
            <v>1639200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1639200</v>
          </cell>
          <cell r="N54">
            <v>64291744.969999999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F55"/>
          <cell r="G55">
            <v>0</v>
          </cell>
          <cell r="H55">
            <v>0</v>
          </cell>
          <cell r="I55">
            <v>0</v>
          </cell>
          <cell r="J55">
            <v>738500</v>
          </cell>
          <cell r="K55">
            <v>0</v>
          </cell>
          <cell r="L55">
            <v>0</v>
          </cell>
          <cell r="M55">
            <v>738500</v>
          </cell>
          <cell r="N55">
            <v>57166860.419999994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E56"/>
          <cell r="F56"/>
          <cell r="G56">
            <v>758200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758200</v>
          </cell>
          <cell r="N56">
            <v>45685035.030000001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E57"/>
          <cell r="F57"/>
          <cell r="G57">
            <v>4357664.1500000004</v>
          </cell>
          <cell r="H57">
            <v>0</v>
          </cell>
          <cell r="I57">
            <v>0</v>
          </cell>
          <cell r="J57">
            <v>9011800</v>
          </cell>
          <cell r="K57"/>
          <cell r="L57">
            <v>0</v>
          </cell>
          <cell r="M57">
            <v>13369464.15</v>
          </cell>
          <cell r="N57">
            <v>26028587.149999999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E58"/>
          <cell r="F58"/>
          <cell r="G58">
            <v>3506520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3506520</v>
          </cell>
          <cell r="N58">
            <v>18259802.5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E59"/>
          <cell r="F59"/>
          <cell r="G59">
            <v>9603762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9603762</v>
          </cell>
          <cell r="N59">
            <v>9603762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F60"/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3788300</v>
          </cell>
        </row>
        <row r="61">
          <cell r="B61" t="str">
            <v>DCF</v>
          </cell>
          <cell r="C61" t="str">
            <v>ДИ СИ ЭФ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BKHE</v>
          </cell>
          <cell r="C62" t="str">
            <v>БАГА ХЭЭР ХХК</v>
          </cell>
          <cell r="D62"/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GNN</v>
          </cell>
          <cell r="C63" t="str">
            <v>ГОВИЙН НОЁН НУРУУ ХХК</v>
          </cell>
          <cell r="D63"/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ITR</v>
          </cell>
          <cell r="C64" t="str">
            <v>АЙ ТРЕЙД ХХК</v>
          </cell>
          <cell r="D64"/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BBSS</v>
          </cell>
          <cell r="C65" t="str">
            <v>БИ БИ ЭС ЭС ХХК</v>
          </cell>
          <cell r="D65"/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D66"/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D67"/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CAPM</v>
          </cell>
          <cell r="C68" t="str">
            <v>"КАПИТАЛ МАРКЕТ КОРПОРАЦИ ҮЦК" ХХК</v>
          </cell>
          <cell r="D68" t="str">
            <v>●</v>
          </cell>
          <cell r="E68" t="str">
            <v>●</v>
          </cell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 t="str">
            <v>●</v>
          </cell>
          <cell r="F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SGC</v>
          </cell>
          <cell r="C70" t="str">
            <v>"ЭС ЖИ КАПИТАЛ ҮЦК" ХХК</v>
          </cell>
          <cell r="D70" t="str">
            <v>●</v>
          </cell>
          <cell r="E70" t="str">
            <v>●</v>
          </cell>
          <cell r="F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FRON</v>
          </cell>
          <cell r="C71" t="str">
            <v>"ФРОНТИЕР ҮЦК" ХХК</v>
          </cell>
          <cell r="D71" t="str">
            <v>●</v>
          </cell>
          <cell r="E71"/>
          <cell r="F71"/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D72"/>
          <cell r="E72"/>
          <cell r="F72"/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D73"/>
          <cell r="E73"/>
          <cell r="F73"/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D74"/>
          <cell r="E74"/>
          <cell r="F74"/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Normal="70" zoomScaleSheetLayoutView="70" workbookViewId="0">
      <pane xSplit="3" ySplit="15" topLeftCell="G16" activePane="bottomRight" state="frozen"/>
      <selection pane="topRight" activeCell="D1" sqref="D1"/>
      <selection pane="bottomLeft" activeCell="A16" sqref="A16"/>
      <selection pane="bottomRight" activeCell="H17" sqref="H17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578125" style="1" bestFit="1" customWidth="1"/>
    <col min="14" max="14" width="25.42578125" style="1" customWidth="1"/>
    <col min="15" max="15" width="16.71093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4"/>
    </row>
    <row r="2" spans="1:17" x14ac:dyDescent="0.25">
      <c r="P2" s="24"/>
    </row>
    <row r="3" spans="1:17" x14ac:dyDescent="0.25">
      <c r="P3" s="24"/>
    </row>
    <row r="4" spans="1:17" x14ac:dyDescent="0.25">
      <c r="P4" s="24"/>
    </row>
    <row r="5" spans="1:17" x14ac:dyDescent="0.25">
      <c r="P5" s="24"/>
    </row>
    <row r="6" spans="1:17" ht="13.9" customHeight="1" x14ac:dyDescent="0.25">
      <c r="P6" s="24"/>
    </row>
    <row r="7" spans="1:17" x14ac:dyDescent="0.25">
      <c r="J7" s="5"/>
      <c r="K7" s="5"/>
      <c r="L7" s="5"/>
      <c r="P7" s="24"/>
    </row>
    <row r="8" spans="1:17" x14ac:dyDescent="0.25">
      <c r="H8" s="6"/>
      <c r="I8" s="6"/>
      <c r="J8" s="7"/>
      <c r="K8" s="7"/>
      <c r="L8" s="7"/>
      <c r="M8" s="7"/>
      <c r="P8" s="24"/>
    </row>
    <row r="9" spans="1:17" ht="15" customHeight="1" x14ac:dyDescent="0.25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  <c r="P9" s="24"/>
    </row>
    <row r="10" spans="1:17" x14ac:dyDescent="0.25">
      <c r="P10" s="24"/>
    </row>
    <row r="11" spans="1:17" ht="15" customHeight="1" thickBot="1" x14ac:dyDescent="0.3">
      <c r="L11" s="52" t="s">
        <v>138</v>
      </c>
      <c r="M11" s="52"/>
      <c r="N11" s="52"/>
      <c r="O11" s="52"/>
      <c r="P11" s="24"/>
    </row>
    <row r="12" spans="1:17" ht="14.45" customHeight="1" x14ac:dyDescent="0.25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137</v>
      </c>
      <c r="H12" s="57"/>
      <c r="I12" s="57"/>
      <c r="J12" s="57"/>
      <c r="K12" s="57"/>
      <c r="L12" s="57"/>
      <c r="M12" s="57"/>
      <c r="N12" s="59" t="s">
        <v>130</v>
      </c>
      <c r="O12" s="60"/>
      <c r="P12" s="24"/>
    </row>
    <row r="13" spans="1:17" s="8" customFormat="1" ht="15.75" customHeight="1" x14ac:dyDescent="0.25">
      <c r="A13" s="54"/>
      <c r="B13" s="56"/>
      <c r="C13" s="56"/>
      <c r="D13" s="56"/>
      <c r="E13" s="56"/>
      <c r="F13" s="56"/>
      <c r="G13" s="58"/>
      <c r="H13" s="58"/>
      <c r="I13" s="58"/>
      <c r="J13" s="58"/>
      <c r="K13" s="58"/>
      <c r="L13" s="58"/>
      <c r="M13" s="58"/>
      <c r="N13" s="61"/>
      <c r="O13" s="62"/>
      <c r="P13" s="35"/>
      <c r="Q13" s="10"/>
    </row>
    <row r="14" spans="1:17" s="8" customFormat="1" ht="33.75" customHeight="1" x14ac:dyDescent="0.25">
      <c r="A14" s="54"/>
      <c r="B14" s="56"/>
      <c r="C14" s="56"/>
      <c r="D14" s="56"/>
      <c r="E14" s="56"/>
      <c r="F14" s="56"/>
      <c r="G14" s="41" t="s">
        <v>5</v>
      </c>
      <c r="H14" s="42"/>
      <c r="I14" s="43"/>
      <c r="J14" s="41" t="s">
        <v>132</v>
      </c>
      <c r="K14" s="42"/>
      <c r="L14" s="43"/>
      <c r="M14" s="39" t="s">
        <v>6</v>
      </c>
      <c r="N14" s="44" t="s">
        <v>7</v>
      </c>
      <c r="O14" s="46" t="s">
        <v>8</v>
      </c>
      <c r="P14" s="35"/>
      <c r="Q14" s="10"/>
    </row>
    <row r="15" spans="1:17" s="8" customFormat="1" ht="55.9" customHeight="1" x14ac:dyDescent="0.25">
      <c r="A15" s="54"/>
      <c r="B15" s="56"/>
      <c r="C15" s="56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40"/>
      <c r="N15" s="45"/>
      <c r="O15" s="47"/>
      <c r="P15" s="35"/>
      <c r="Q15" s="10"/>
    </row>
    <row r="16" spans="1:17" x14ac:dyDescent="0.2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VLOOKUP(B16,[1]Brokers!$B$9:$H$67,7,0)</f>
        <v>1877749848.5999999</v>
      </c>
      <c r="H16" s="17">
        <f>VLOOKUP(B16,[1]Brokers!$B$9:$W$67,22,0)</f>
        <v>2785411780</v>
      </c>
      <c r="I16" s="17">
        <f>VLOOKUP(B16,[2]Brokers!$B$9:$R$67,17,0)</f>
        <v>0</v>
      </c>
      <c r="J16" s="17">
        <f>VLOOKUP(B16,[1]Brokers!$B$9:$W$67,12,0)</f>
        <v>0</v>
      </c>
      <c r="K16" s="17">
        <v>0</v>
      </c>
      <c r="L16" s="17">
        <v>0</v>
      </c>
      <c r="M16" s="18">
        <f>L16+I16+J16+H16+G16</f>
        <v>4663161628.6000004</v>
      </c>
      <c r="N16" s="31">
        <f>(VLOOKUP(B16,[3]Sheet1!$B$16:$N$74,13,0))+4663161628.6</f>
        <v>52667019846.639992</v>
      </c>
      <c r="O16" s="34">
        <f>N16/$N$75</f>
        <v>0.22880876898153413</v>
      </c>
      <c r="P16" s="36"/>
    </row>
    <row r="17" spans="1:17" x14ac:dyDescent="0.2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>
        <f>VLOOKUP(B17,[1]Brokers!$B$9:$H$67,7,0)</f>
        <v>2428060602.9500003</v>
      </c>
      <c r="H17" s="17">
        <f>VLOOKUP(B17,[1]Brokers!$B$9:$W$67,22,0)</f>
        <v>515000</v>
      </c>
      <c r="I17" s="17">
        <f>VLOOKUP(B17,[2]Brokers!$B$9:$R$67,17,0)</f>
        <v>0</v>
      </c>
      <c r="J17" s="17">
        <f>VLOOKUP(B17,[1]Brokers!$B$9:$W$67,12,0)</f>
        <v>0</v>
      </c>
      <c r="K17" s="17">
        <v>0</v>
      </c>
      <c r="L17" s="17">
        <v>0</v>
      </c>
      <c r="M17" s="18">
        <f>L17+I17+J17+H17+G17</f>
        <v>2428575602.9500003</v>
      </c>
      <c r="N17" s="31">
        <f>(VLOOKUP(B17,[3]Sheet1!$B$16:$N$74,13,0))+2428575602.95</f>
        <v>36729213540.619995</v>
      </c>
      <c r="O17" s="34">
        <f>N17/$N$75</f>
        <v>0.1595679072094926</v>
      </c>
      <c r="P17" s="36"/>
    </row>
    <row r="18" spans="1:17" x14ac:dyDescent="0.2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>
        <f>VLOOKUP(B18,[1]Brokers!$B$9:$H$67,7,0)</f>
        <v>603843569.49000001</v>
      </c>
      <c r="H18" s="17">
        <f>VLOOKUP(B18,[1]Brokers!$B$9:$W$67,22,0)</f>
        <v>0</v>
      </c>
      <c r="I18" s="17">
        <f>VLOOKUP(B18,[2]Brokers!$B$9:$R$67,17,0)</f>
        <v>0</v>
      </c>
      <c r="J18" s="17">
        <f>VLOOKUP(B18,[1]Brokers!$B$9:$W$67,12,0)</f>
        <v>0</v>
      </c>
      <c r="K18" s="17">
        <v>0</v>
      </c>
      <c r="L18" s="17">
        <v>0</v>
      </c>
      <c r="M18" s="18">
        <f>L18+I18+J18+H18+G18</f>
        <v>603843569.49000001</v>
      </c>
      <c r="N18" s="31">
        <f>(VLOOKUP(B18,[3]Sheet1!$B$16:$N$74,13,0))+603843569.49</f>
        <v>27560745062.540001</v>
      </c>
      <c r="O18" s="34">
        <f>N18/$N$75</f>
        <v>0.11973603534690955</v>
      </c>
      <c r="P18" s="36"/>
    </row>
    <row r="19" spans="1:17" x14ac:dyDescent="0.25">
      <c r="A19" s="12">
        <v>4</v>
      </c>
      <c r="B19" s="13" t="s">
        <v>19</v>
      </c>
      <c r="C19" s="14" t="s">
        <v>20</v>
      </c>
      <c r="D19" s="15" t="s">
        <v>14</v>
      </c>
      <c r="E19" s="16" t="s">
        <v>14</v>
      </c>
      <c r="F19" s="16" t="s">
        <v>14</v>
      </c>
      <c r="G19" s="17">
        <f>VLOOKUP(B19,[1]Brokers!$B$9:$H$67,7,0)</f>
        <v>2132309780.3999999</v>
      </c>
      <c r="H19" s="17">
        <f>VLOOKUP(B19,[1]Brokers!$B$9:$W$67,22,0)</f>
        <v>0</v>
      </c>
      <c r="I19" s="17">
        <f>VLOOKUP(B19,[2]Brokers!$B$9:$R$67,17,0)</f>
        <v>0</v>
      </c>
      <c r="J19" s="17">
        <f>VLOOKUP(B19,[1]Brokers!$B$9:$W$67,12,0)</f>
        <v>0</v>
      </c>
      <c r="K19" s="17">
        <v>0</v>
      </c>
      <c r="L19" s="17">
        <v>0</v>
      </c>
      <c r="M19" s="18">
        <f>L19+I19+J19+H19+G19</f>
        <v>2132309780.3999999</v>
      </c>
      <c r="N19" s="31">
        <f>(VLOOKUP(B19,[3]Sheet1!$B$16:$N$74,13,0))+2132309780.4</f>
        <v>22359561740.200005</v>
      </c>
      <c r="O19" s="34">
        <f>N19/$N$75</f>
        <v>9.7139800422335124E-2</v>
      </c>
      <c r="P19" s="36"/>
    </row>
    <row r="20" spans="1:17" x14ac:dyDescent="0.2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VLOOKUP(B20,[1]Brokers!$B$9:$H$67,7,0)</f>
        <v>816791054.88999999</v>
      </c>
      <c r="H20" s="17">
        <f>VLOOKUP(B20,[1]Brokers!$B$9:$W$67,22,0)</f>
        <v>0</v>
      </c>
      <c r="I20" s="17">
        <f>VLOOKUP(B20,[2]Brokers!$B$9:$R$67,17,0)</f>
        <v>0</v>
      </c>
      <c r="J20" s="17">
        <f>VLOOKUP(B20,[1]Brokers!$B$9:$W$67,12,0)</f>
        <v>0</v>
      </c>
      <c r="K20" s="17">
        <v>0</v>
      </c>
      <c r="L20" s="17">
        <v>0</v>
      </c>
      <c r="M20" s="18">
        <f>L20+I20+J20+H20+G20</f>
        <v>816791054.88999999</v>
      </c>
      <c r="N20" s="31">
        <f>(VLOOKUP(B20,[3]Sheet1!$B$16:$N$74,13,0))+816791054.89</f>
        <v>22125562760.5</v>
      </c>
      <c r="O20" s="34">
        <f>N20/$N$75</f>
        <v>9.6123205622705335E-2</v>
      </c>
      <c r="P20" s="36"/>
    </row>
    <row r="21" spans="1:17" s="29" customFormat="1" x14ac:dyDescent="0.2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>
        <f>VLOOKUP(B21,[1]Brokers!$B$9:$H$67,7,0)</f>
        <v>240380516.92000002</v>
      </c>
      <c r="H21" s="17">
        <f>VLOOKUP(B21,[1]Brokers!$B$9:$W$67,22,0)</f>
        <v>82023000</v>
      </c>
      <c r="I21" s="17">
        <f>VLOOKUP(B21,[2]Brokers!$B$9:$R$67,17,0)</f>
        <v>0</v>
      </c>
      <c r="J21" s="17">
        <f>VLOOKUP(B21,[1]Brokers!$B$9:$W$67,12,0)</f>
        <v>0</v>
      </c>
      <c r="K21" s="17">
        <v>0</v>
      </c>
      <c r="L21" s="17">
        <v>0</v>
      </c>
      <c r="M21" s="18">
        <f>L21+I21+J21+H21+G21</f>
        <v>322403516.92000002</v>
      </c>
      <c r="N21" s="31">
        <f>(VLOOKUP(B21,[3]Sheet1!$B$16:$N$74,13,0))+322403516.92</f>
        <v>18571759190.919998</v>
      </c>
      <c r="O21" s="34">
        <f>N21/$N$75</f>
        <v>8.0683915107966672E-2</v>
      </c>
      <c r="P21" s="36"/>
      <c r="Q21" s="10"/>
    </row>
    <row r="22" spans="1:17" x14ac:dyDescent="0.25">
      <c r="A22" s="12">
        <v>7</v>
      </c>
      <c r="B22" s="13" t="s">
        <v>29</v>
      </c>
      <c r="C22" s="14" t="s">
        <v>30</v>
      </c>
      <c r="D22" s="15" t="s">
        <v>14</v>
      </c>
      <c r="E22" s="16" t="s">
        <v>14</v>
      </c>
      <c r="F22" s="16" t="s">
        <v>14</v>
      </c>
      <c r="G22" s="17">
        <f>VLOOKUP(B22,[1]Brokers!$B$9:$H$67,7,0)</f>
        <v>2028264638</v>
      </c>
      <c r="H22" s="17">
        <f>VLOOKUP(B22,[1]Brokers!$B$9:$W$67,22,0)</f>
        <v>0</v>
      </c>
      <c r="I22" s="17">
        <f>VLOOKUP(B22,[2]Brokers!$B$9:$R$67,17,0)</f>
        <v>0</v>
      </c>
      <c r="J22" s="17">
        <f>VLOOKUP(B22,[1]Brokers!$B$9:$W$67,12,0)</f>
        <v>0</v>
      </c>
      <c r="K22" s="17">
        <v>0</v>
      </c>
      <c r="L22" s="17">
        <v>0</v>
      </c>
      <c r="M22" s="18">
        <f>L22+I22+J22+H22+G22</f>
        <v>2028264638</v>
      </c>
      <c r="N22" s="31">
        <f>(VLOOKUP(B22,[3]Sheet1!$B$16:$N$74,13,0))+2028264638</f>
        <v>8509408842.3900013</v>
      </c>
      <c r="O22" s="34">
        <f>N22/$N$75</f>
        <v>3.6968626052078631E-2</v>
      </c>
      <c r="P22" s="36"/>
    </row>
    <row r="23" spans="1:17" x14ac:dyDescent="0.2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VLOOKUP(B23,[1]Brokers!$B$9:$H$67,7,0)</f>
        <v>3004621691.5700002</v>
      </c>
      <c r="H23" s="17">
        <f>VLOOKUP(B23,[1]Brokers!$B$9:$W$67,22,0)</f>
        <v>0</v>
      </c>
      <c r="I23" s="17">
        <f>VLOOKUP(B23,[2]Brokers!$B$9:$R$67,17,0)</f>
        <v>0</v>
      </c>
      <c r="J23" s="17">
        <f>VLOOKUP(B23,[1]Brokers!$B$9:$W$67,12,0)</f>
        <v>0</v>
      </c>
      <c r="K23" s="17">
        <v>0</v>
      </c>
      <c r="L23" s="17">
        <v>0</v>
      </c>
      <c r="M23" s="18">
        <f>L23+I23+J23+H23+G23</f>
        <v>3004621691.5700002</v>
      </c>
      <c r="N23" s="31">
        <f>(VLOOKUP(B23,[3]Sheet1!$B$16:$N$74,13,0))+3004621691.57</f>
        <v>8331626796.3600006</v>
      </c>
      <c r="O23" s="34">
        <f>N23/$N$75</f>
        <v>3.6196262413171539E-2</v>
      </c>
      <c r="P23" s="36"/>
    </row>
    <row r="24" spans="1:17" x14ac:dyDescent="0.25">
      <c r="A24" s="12">
        <v>9</v>
      </c>
      <c r="B24" s="13" t="s">
        <v>45</v>
      </c>
      <c r="C24" s="14" t="s">
        <v>46</v>
      </c>
      <c r="D24" s="15" t="s">
        <v>14</v>
      </c>
      <c r="E24" s="16"/>
      <c r="F24" s="16"/>
      <c r="G24" s="17">
        <f>VLOOKUP(B24,[1]Brokers!$B$9:$H$67,7,0)</f>
        <v>24272529</v>
      </c>
      <c r="H24" s="17">
        <f>VLOOKUP(B24,[1]Brokers!$B$9:$W$67,22,0)</f>
        <v>0</v>
      </c>
      <c r="I24" s="17">
        <f>VLOOKUP(B24,[2]Brokers!$B$9:$R$67,17,0)</f>
        <v>0</v>
      </c>
      <c r="J24" s="17">
        <f>VLOOKUP(B24,[1]Brokers!$B$9:$W$67,12,0)</f>
        <v>0</v>
      </c>
      <c r="K24" s="17">
        <v>0</v>
      </c>
      <c r="L24" s="17">
        <v>0</v>
      </c>
      <c r="M24" s="18">
        <f>L24+I24+J24+H24+G24</f>
        <v>24272529</v>
      </c>
      <c r="N24" s="31">
        <f>(VLOOKUP(B24,[3]Sheet1!$B$16:$N$74,13,0))+24272529</f>
        <v>7857648200.7400007</v>
      </c>
      <c r="O24" s="34">
        <f>N24/$N$75</f>
        <v>3.4137090291733813E-2</v>
      </c>
      <c r="P24" s="36"/>
    </row>
    <row r="25" spans="1:17" x14ac:dyDescent="0.25">
      <c r="A25" s="12">
        <v>10</v>
      </c>
      <c r="B25" s="13" t="s">
        <v>25</v>
      </c>
      <c r="C25" s="14" t="s">
        <v>26</v>
      </c>
      <c r="D25" s="15" t="s">
        <v>14</v>
      </c>
      <c r="E25" s="16" t="s">
        <v>14</v>
      </c>
      <c r="F25" s="16"/>
      <c r="G25" s="17">
        <f>VLOOKUP(B25,[1]Brokers!$B$9:$H$67,7,0)</f>
        <v>745903063.65999997</v>
      </c>
      <c r="H25" s="17">
        <f>VLOOKUP(B25,[1]Brokers!$B$9:$W$67,22,0)</f>
        <v>68097200</v>
      </c>
      <c r="I25" s="17">
        <f>VLOOKUP(B25,[2]Brokers!$B$9:$R$67,17,0)</f>
        <v>0</v>
      </c>
      <c r="J25" s="17">
        <f>VLOOKUP(B25,[1]Brokers!$B$9:$W$67,12,0)</f>
        <v>0</v>
      </c>
      <c r="K25" s="17">
        <v>0</v>
      </c>
      <c r="L25" s="17">
        <v>0</v>
      </c>
      <c r="M25" s="18">
        <f>L25+I25+J25+H25+G25</f>
        <v>814000263.65999997</v>
      </c>
      <c r="N25" s="31">
        <f>(VLOOKUP(B25,[3]Sheet1!$B$16:$N$74,13,0))+814000263.66</f>
        <v>7025315498.7999992</v>
      </c>
      <c r="O25" s="34">
        <f>N25/$N$75</f>
        <v>3.0521069839683956E-2</v>
      </c>
      <c r="P25" s="36"/>
      <c r="Q25" s="1"/>
    </row>
    <row r="26" spans="1:17" x14ac:dyDescent="0.2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VLOOKUP(B26,[1]Brokers!$B$9:$H$67,7,0)</f>
        <v>128587551.36</v>
      </c>
      <c r="H26" s="17">
        <f>VLOOKUP(B26,[1]Brokers!$B$9:$W$67,22,0)</f>
        <v>0</v>
      </c>
      <c r="I26" s="17">
        <f>VLOOKUP(B26,[2]Brokers!$B$9:$R$67,17,0)</f>
        <v>0</v>
      </c>
      <c r="J26" s="17">
        <f>VLOOKUP(B26,[1]Brokers!$B$9:$W$67,12,0)</f>
        <v>0</v>
      </c>
      <c r="K26" s="17">
        <v>0</v>
      </c>
      <c r="L26" s="17">
        <v>0</v>
      </c>
      <c r="M26" s="18">
        <f>L26+I26+J26+H26+G26</f>
        <v>128587551.36</v>
      </c>
      <c r="N26" s="31">
        <f>(VLOOKUP(B26,[3]Sheet1!$B$16:$N$74,13,0))+128587551.36</f>
        <v>4224182977.9400005</v>
      </c>
      <c r="O26" s="34">
        <f>N26/$N$75</f>
        <v>1.8351714411592331E-2</v>
      </c>
      <c r="P26" s="36"/>
    </row>
    <row r="27" spans="1:17" x14ac:dyDescent="0.25">
      <c r="A27" s="12">
        <v>12</v>
      </c>
      <c r="B27" s="13" t="s">
        <v>79</v>
      </c>
      <c r="C27" s="14" t="s">
        <v>136</v>
      </c>
      <c r="D27" s="15" t="s">
        <v>14</v>
      </c>
      <c r="E27" s="16"/>
      <c r="F27" s="16"/>
      <c r="G27" s="17">
        <f>VLOOKUP(B27,[1]Brokers!$B$9:$H$67,7,0)</f>
        <v>129409160.75</v>
      </c>
      <c r="H27" s="17">
        <f>VLOOKUP(B27,[1]Brokers!$B$9:$W$67,22,0)</f>
        <v>0</v>
      </c>
      <c r="I27" s="17">
        <f>VLOOKUP(B27,[2]Brokers!$B$9:$R$67,17,0)</f>
        <v>0</v>
      </c>
      <c r="J27" s="17">
        <f>VLOOKUP(B27,[1]Brokers!$B$9:$W$67,12,0)</f>
        <v>0</v>
      </c>
      <c r="K27" s="17">
        <v>0</v>
      </c>
      <c r="L27" s="17">
        <v>0</v>
      </c>
      <c r="M27" s="18">
        <f>L27+I27+J27+H27+G27</f>
        <v>129409160.75</v>
      </c>
      <c r="N27" s="31">
        <f>(VLOOKUP(B27,[3]Sheet1!$B$16:$N$74,13,0))+129409160.75</f>
        <v>1529477991.8</v>
      </c>
      <c r="O27" s="34">
        <f>N27/$N$75</f>
        <v>6.6447271462699497E-3</v>
      </c>
      <c r="P27" s="36"/>
    </row>
    <row r="28" spans="1:17" x14ac:dyDescent="0.2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VLOOKUP(B28,[1]Brokers!$B$9:$H$67,7,0)</f>
        <v>103418919.02000001</v>
      </c>
      <c r="H28" s="17">
        <f>VLOOKUP(B28,[1]Brokers!$B$9:$W$67,22,0)</f>
        <v>0</v>
      </c>
      <c r="I28" s="17">
        <f>VLOOKUP(B28,[2]Brokers!$B$9:$R$67,17,0)</f>
        <v>0</v>
      </c>
      <c r="J28" s="17">
        <f>VLOOKUP(B28,[1]Brokers!$B$9:$W$67,12,0)</f>
        <v>0</v>
      </c>
      <c r="K28" s="17">
        <v>0</v>
      </c>
      <c r="L28" s="17">
        <v>0</v>
      </c>
      <c r="M28" s="18">
        <f>L28+I28+J28+H28+G28</f>
        <v>103418919.02000001</v>
      </c>
      <c r="N28" s="31">
        <f>(VLOOKUP(B28,[3]Sheet1!$B$16:$N$74,13,0))+103418919.02</f>
        <v>1498884448.8399999</v>
      </c>
      <c r="O28" s="34">
        <f>N28/$N$75</f>
        <v>6.511815298896685E-3</v>
      </c>
      <c r="P28" s="36"/>
    </row>
    <row r="29" spans="1:17" x14ac:dyDescent="0.25">
      <c r="A29" s="12">
        <v>14</v>
      </c>
      <c r="B29" s="13" t="s">
        <v>51</v>
      </c>
      <c r="C29" s="14" t="s">
        <v>52</v>
      </c>
      <c r="D29" s="15" t="s">
        <v>14</v>
      </c>
      <c r="E29" s="16" t="s">
        <v>14</v>
      </c>
      <c r="F29" s="16"/>
      <c r="G29" s="17">
        <f>VLOOKUP(B29,[1]Brokers!$B$9:$H$67,7,0)</f>
        <v>47393424.189999998</v>
      </c>
      <c r="H29" s="17">
        <f>VLOOKUP(B29,[1]Brokers!$B$9:$W$67,22,0)</f>
        <v>0</v>
      </c>
      <c r="I29" s="17">
        <f>VLOOKUP(B29,[2]Brokers!$B$9:$R$67,17,0)</f>
        <v>0</v>
      </c>
      <c r="J29" s="17">
        <f>VLOOKUP(B29,[1]Brokers!$B$9:$W$67,12,0)</f>
        <v>0</v>
      </c>
      <c r="K29" s="17">
        <v>0</v>
      </c>
      <c r="L29" s="17">
        <v>0</v>
      </c>
      <c r="M29" s="18">
        <f>L29+I29+J29+H29+G29</f>
        <v>47393424.189999998</v>
      </c>
      <c r="N29" s="31">
        <f>(VLOOKUP(B29,[3]Sheet1!$B$16:$N$74,13,0))+47393424.19</f>
        <v>1382049881.6599998</v>
      </c>
      <c r="O29" s="34">
        <f>N29/$N$75</f>
        <v>6.0042343959181461E-3</v>
      </c>
      <c r="P29" s="36"/>
    </row>
    <row r="30" spans="1:17" x14ac:dyDescent="0.2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>
        <f>VLOOKUP(B30,[1]Brokers!$B$9:$H$67,7,0)</f>
        <v>70334756</v>
      </c>
      <c r="H30" s="17">
        <f>VLOOKUP(B30,[1]Brokers!$B$9:$W$67,22,0)</f>
        <v>0</v>
      </c>
      <c r="I30" s="17">
        <f>VLOOKUP(B30,[2]Brokers!$B$9:$R$67,17,0)</f>
        <v>0</v>
      </c>
      <c r="J30" s="17">
        <f>VLOOKUP(B30,[1]Brokers!$B$9:$W$67,12,0)</f>
        <v>0</v>
      </c>
      <c r="K30" s="17">
        <v>0</v>
      </c>
      <c r="L30" s="17">
        <v>0</v>
      </c>
      <c r="M30" s="18">
        <f>L30+I30+J30+H30+G30</f>
        <v>70334756</v>
      </c>
      <c r="N30" s="31">
        <f>(VLOOKUP(B30,[3]Sheet1!$B$16:$N$74,13,0))+70334756</f>
        <v>944214658.00999999</v>
      </c>
      <c r="O30" s="34">
        <f>N30/$N$75</f>
        <v>4.102085027455211E-3</v>
      </c>
      <c r="P30" s="36"/>
    </row>
    <row r="31" spans="1:17" x14ac:dyDescent="0.25">
      <c r="A31" s="12">
        <v>16</v>
      </c>
      <c r="B31" s="13" t="s">
        <v>82</v>
      </c>
      <c r="C31" s="14" t="s">
        <v>83</v>
      </c>
      <c r="D31" s="15" t="s">
        <v>14</v>
      </c>
      <c r="E31" s="16"/>
      <c r="F31" s="16"/>
      <c r="G31" s="17">
        <f>VLOOKUP(B31,[1]Brokers!$B$9:$H$67,7,0)</f>
        <v>84913654</v>
      </c>
      <c r="H31" s="17">
        <f>VLOOKUP(B31,[1]Brokers!$B$9:$W$67,22,0)</f>
        <v>0</v>
      </c>
      <c r="I31" s="17">
        <f>VLOOKUP(B31,[2]Brokers!$B$9:$R$67,17,0)</f>
        <v>0</v>
      </c>
      <c r="J31" s="17">
        <f>VLOOKUP(B31,[1]Brokers!$B$9:$W$67,12,0)</f>
        <v>0</v>
      </c>
      <c r="K31" s="17">
        <v>0</v>
      </c>
      <c r="L31" s="17">
        <v>0</v>
      </c>
      <c r="M31" s="18">
        <f>L31+I31+J31+H31+G31</f>
        <v>84913654</v>
      </c>
      <c r="N31" s="31">
        <f>(VLOOKUP(B31,[3]Sheet1!$B$16:$N$74,13,0))+84913654</f>
        <v>846297016.33999991</v>
      </c>
      <c r="O31" s="34">
        <f>N31/$N$75</f>
        <v>3.6766875943495094E-3</v>
      </c>
      <c r="P31" s="36"/>
    </row>
    <row r="32" spans="1:17" x14ac:dyDescent="0.2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VLOOKUP(B32,[1]Brokers!$B$9:$H$67,7,0)</f>
        <v>14083540.5</v>
      </c>
      <c r="H32" s="17">
        <f>VLOOKUP(B32,[1]Brokers!$B$9:$W$67,22,0)</f>
        <v>0</v>
      </c>
      <c r="I32" s="17">
        <f>VLOOKUP(B32,[2]Brokers!$B$9:$R$67,17,0)</f>
        <v>0</v>
      </c>
      <c r="J32" s="17">
        <f>VLOOKUP(B32,[1]Brokers!$B$9:$W$67,12,0)</f>
        <v>0</v>
      </c>
      <c r="K32" s="17">
        <v>0</v>
      </c>
      <c r="L32" s="17">
        <v>0</v>
      </c>
      <c r="M32" s="18">
        <f>L32+I32+J32+H32+G32</f>
        <v>14083540.5</v>
      </c>
      <c r="N32" s="31">
        <f>(VLOOKUP(B32,[3]Sheet1!$B$16:$N$74,13,0))+14083540.5</f>
        <v>811666881.93000007</v>
      </c>
      <c r="O32" s="34">
        <f>N32/$N$75</f>
        <v>3.5262390129205635E-3</v>
      </c>
      <c r="P32" s="36"/>
    </row>
    <row r="33" spans="1:16" x14ac:dyDescent="0.2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VLOOKUP(B33,[1]Brokers!$B$9:$H$67,7,0)</f>
        <v>2677376.5</v>
      </c>
      <c r="H33" s="17">
        <f>VLOOKUP(B33,[1]Brokers!$B$9:$W$67,22,0)</f>
        <v>0</v>
      </c>
      <c r="I33" s="17">
        <f>VLOOKUP(B33,[2]Brokers!$B$9:$R$67,17,0)</f>
        <v>0</v>
      </c>
      <c r="J33" s="17">
        <f>VLOOKUP(B33,[1]Brokers!$B$9:$W$67,12,0)</f>
        <v>0</v>
      </c>
      <c r="K33" s="17">
        <v>0</v>
      </c>
      <c r="L33" s="17">
        <v>0</v>
      </c>
      <c r="M33" s="18">
        <f>L33+I33+J33+H33+G33</f>
        <v>2677376.5</v>
      </c>
      <c r="N33" s="31">
        <f>(VLOOKUP(B33,[3]Sheet1!$B$16:$N$74,13,0))+2677376.5</f>
        <v>657142127.47000003</v>
      </c>
      <c r="O33" s="34">
        <f>N33/$N$75</f>
        <v>2.8549153088621099E-3</v>
      </c>
      <c r="P33" s="36"/>
    </row>
    <row r="34" spans="1:16" x14ac:dyDescent="0.2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VLOOKUP(B34,[1]Brokers!$B$9:$H$67,7,0)</f>
        <v>80365625.189999998</v>
      </c>
      <c r="H34" s="17">
        <f>VLOOKUP(B34,[1]Brokers!$B$9:$W$67,22,0)</f>
        <v>0</v>
      </c>
      <c r="I34" s="17">
        <f>VLOOKUP(B34,[2]Brokers!$B$9:$R$67,17,0)</f>
        <v>0</v>
      </c>
      <c r="J34" s="17">
        <f>VLOOKUP(B34,[1]Brokers!$B$9:$W$67,12,0)</f>
        <v>0</v>
      </c>
      <c r="K34" s="17">
        <v>0</v>
      </c>
      <c r="L34" s="17">
        <v>0</v>
      </c>
      <c r="M34" s="18">
        <f>L34+I34+J34+H34+G34</f>
        <v>80365625.189999998</v>
      </c>
      <c r="N34" s="31">
        <f>(VLOOKUP(B34,[3]Sheet1!$B$16:$N$74,13,0))+80365625.19</f>
        <v>646266547.6500001</v>
      </c>
      <c r="O34" s="34">
        <f>N34/$N$75</f>
        <v>2.8076669922149824E-3</v>
      </c>
      <c r="P34" s="36"/>
    </row>
    <row r="35" spans="1:16" x14ac:dyDescent="0.2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VLOOKUP(B35,[1]Brokers!$B$9:$H$67,7,0)</f>
        <v>63088494.069999993</v>
      </c>
      <c r="H35" s="17">
        <f>VLOOKUP(B35,[1]Brokers!$B$9:$W$67,22,0)</f>
        <v>0</v>
      </c>
      <c r="I35" s="17">
        <f>VLOOKUP(B35,[2]Brokers!$B$9:$R$67,17,0)</f>
        <v>0</v>
      </c>
      <c r="J35" s="17">
        <f>VLOOKUP(B35,[1]Brokers!$B$9:$W$67,12,0)</f>
        <v>0</v>
      </c>
      <c r="K35" s="17">
        <v>0</v>
      </c>
      <c r="L35" s="17">
        <v>0</v>
      </c>
      <c r="M35" s="18">
        <f>L35+I35+J35+H35+G35</f>
        <v>63088494.069999993</v>
      </c>
      <c r="N35" s="31">
        <f>(VLOOKUP(B35,[3]Sheet1!$B$16:$N$74,13,0))+63088494.07</f>
        <v>641180881.05000007</v>
      </c>
      <c r="O35" s="34">
        <f>N35/$N$75</f>
        <v>2.7855726128940164E-3</v>
      </c>
      <c r="P35" s="36"/>
    </row>
    <row r="36" spans="1:16" x14ac:dyDescent="0.25">
      <c r="A36" s="12">
        <v>21</v>
      </c>
      <c r="B36" s="13" t="s">
        <v>94</v>
      </c>
      <c r="C36" s="14" t="s">
        <v>95</v>
      </c>
      <c r="D36" s="15" t="s">
        <v>14</v>
      </c>
      <c r="E36" s="16" t="s">
        <v>14</v>
      </c>
      <c r="F36" s="16" t="s">
        <v>14</v>
      </c>
      <c r="G36" s="17">
        <f>VLOOKUP(B36,[1]Brokers!$B$9:$H$67,7,0)</f>
        <v>173506991.22</v>
      </c>
      <c r="H36" s="17">
        <f>VLOOKUP(B36,[1]Brokers!$B$9:$W$67,22,0)</f>
        <v>0</v>
      </c>
      <c r="I36" s="17">
        <f>VLOOKUP(B36,[2]Brokers!$B$9:$R$67,17,0)</f>
        <v>0</v>
      </c>
      <c r="J36" s="17">
        <f>VLOOKUP(B36,[1]Brokers!$B$9:$W$67,12,0)</f>
        <v>0</v>
      </c>
      <c r="K36" s="17">
        <v>0</v>
      </c>
      <c r="L36" s="17">
        <v>0</v>
      </c>
      <c r="M36" s="18">
        <f>L36+I36+J36+H36+G36</f>
        <v>173506991.22</v>
      </c>
      <c r="N36" s="31">
        <f>(VLOOKUP(B36,[3]Sheet1!$B$16:$N$74,13,0))+173506991.22</f>
        <v>583294258.96000004</v>
      </c>
      <c r="O36" s="34">
        <f>N36/$N$75</f>
        <v>2.5340875890692408E-3</v>
      </c>
      <c r="P36" s="36"/>
    </row>
    <row r="37" spans="1:16" x14ac:dyDescent="0.25">
      <c r="A37" s="12">
        <v>22</v>
      </c>
      <c r="B37" s="13" t="s">
        <v>122</v>
      </c>
      <c r="C37" s="14" t="s">
        <v>123</v>
      </c>
      <c r="D37" s="15" t="s">
        <v>14</v>
      </c>
      <c r="E37" s="16"/>
      <c r="F37" s="16"/>
      <c r="G37" s="17">
        <f>VLOOKUP(B37,[1]Brokers!$B$9:$H$67,7,0)</f>
        <v>118695538.7</v>
      </c>
      <c r="H37" s="17">
        <f>VLOOKUP(B37,[1]Brokers!$B$9:$W$67,22,0)</f>
        <v>0</v>
      </c>
      <c r="I37" s="17">
        <f>VLOOKUP(B37,[2]Brokers!$B$9:$R$67,17,0)</f>
        <v>0</v>
      </c>
      <c r="J37" s="17">
        <f>VLOOKUP(B37,[1]Brokers!$B$9:$W$67,12,0)</f>
        <v>0</v>
      </c>
      <c r="K37" s="17">
        <v>0</v>
      </c>
      <c r="L37" s="17">
        <v>0</v>
      </c>
      <c r="M37" s="18">
        <f>L37+I37+J37+H37+G37</f>
        <v>118695538.7</v>
      </c>
      <c r="N37" s="31">
        <f>(VLOOKUP(B37,[3]Sheet1!$B$16:$N$74,13,0))+118695538.7</f>
        <v>494674670.15999997</v>
      </c>
      <c r="O37" s="34">
        <f>N37/$N$75</f>
        <v>2.1490849995925289E-3</v>
      </c>
      <c r="P37" s="36"/>
    </row>
    <row r="38" spans="1:16" x14ac:dyDescent="0.25">
      <c r="A38" s="12">
        <v>23</v>
      </c>
      <c r="B38" s="13" t="s">
        <v>43</v>
      </c>
      <c r="C38" s="14" t="s">
        <v>44</v>
      </c>
      <c r="D38" s="15" t="s">
        <v>14</v>
      </c>
      <c r="E38" s="16" t="s">
        <v>14</v>
      </c>
      <c r="F38" s="16"/>
      <c r="G38" s="17">
        <f>VLOOKUP(B38,[1]Brokers!$B$9:$H$67,7,0)</f>
        <v>6998776</v>
      </c>
      <c r="H38" s="17">
        <f>VLOOKUP(B38,[1]Brokers!$B$9:$W$67,22,0)</f>
        <v>0</v>
      </c>
      <c r="I38" s="17">
        <f>VLOOKUP(B38,[2]Brokers!$B$9:$R$67,17,0)</f>
        <v>0</v>
      </c>
      <c r="J38" s="17">
        <f>VLOOKUP(B38,[1]Brokers!$B$9:$W$67,12,0)</f>
        <v>0</v>
      </c>
      <c r="K38" s="17">
        <v>0</v>
      </c>
      <c r="L38" s="17">
        <v>0</v>
      </c>
      <c r="M38" s="18">
        <f>L38+I38+J38+H38+G38</f>
        <v>6998776</v>
      </c>
      <c r="N38" s="31">
        <f>(VLOOKUP(B38,[3]Sheet1!$B$16:$N$74,13,0))+6998776</f>
        <v>482607845.31000006</v>
      </c>
      <c r="O38" s="34">
        <f>N38/$N$75</f>
        <v>2.0966613890012341E-3</v>
      </c>
      <c r="P38" s="36"/>
    </row>
    <row r="39" spans="1:16" x14ac:dyDescent="0.2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VLOOKUP(B39,[1]Brokers!$B$9:$H$67,7,0)</f>
        <v>7173843</v>
      </c>
      <c r="H39" s="17">
        <f>VLOOKUP(B39,[1]Brokers!$B$9:$W$67,22,0)</f>
        <v>0</v>
      </c>
      <c r="I39" s="17">
        <f>VLOOKUP(B39,[2]Brokers!$B$9:$R$67,17,0)</f>
        <v>0</v>
      </c>
      <c r="J39" s="17">
        <f>VLOOKUP(B39,[1]Brokers!$B$9:$W$67,12,0)</f>
        <v>0</v>
      </c>
      <c r="K39" s="17">
        <v>0</v>
      </c>
      <c r="L39" s="17">
        <v>0</v>
      </c>
      <c r="M39" s="18">
        <f>L39+I39+J39+H39+G39</f>
        <v>7173843</v>
      </c>
      <c r="N39" s="31">
        <f>(VLOOKUP(B39,[3]Sheet1!$B$16:$N$74,13,0))+7173843</f>
        <v>388514192.83999997</v>
      </c>
      <c r="O39" s="34">
        <f>N39/$N$75</f>
        <v>1.6878770519848586E-3</v>
      </c>
      <c r="P39" s="36"/>
    </row>
    <row r="40" spans="1:16" x14ac:dyDescent="0.25">
      <c r="A40" s="12">
        <v>25</v>
      </c>
      <c r="B40" s="13" t="s">
        <v>55</v>
      </c>
      <c r="C40" s="14" t="s">
        <v>56</v>
      </c>
      <c r="D40" s="15" t="s">
        <v>14</v>
      </c>
      <c r="E40" s="16"/>
      <c r="F40" s="16"/>
      <c r="G40" s="17">
        <f>VLOOKUP(B40,[1]Brokers!$B$9:$H$67,7,0)</f>
        <v>20927085</v>
      </c>
      <c r="H40" s="17">
        <f>VLOOKUP(B40,[1]Brokers!$B$9:$W$67,22,0)</f>
        <v>0</v>
      </c>
      <c r="I40" s="17">
        <f>VLOOKUP(B40,[2]Brokers!$B$9:$R$67,17,0)</f>
        <v>0</v>
      </c>
      <c r="J40" s="17">
        <f>VLOOKUP(B40,[1]Brokers!$B$9:$W$67,12,0)</f>
        <v>0</v>
      </c>
      <c r="K40" s="17">
        <v>0</v>
      </c>
      <c r="L40" s="17">
        <v>0</v>
      </c>
      <c r="M40" s="18">
        <f>L40+I40+J40+H40+G40</f>
        <v>20927085</v>
      </c>
      <c r="N40" s="31">
        <f>(VLOOKUP(B40,[3]Sheet1!$B$16:$N$74,13,0))+20927085</f>
        <v>387445390.91999996</v>
      </c>
      <c r="O40" s="34">
        <f>N40/$N$75</f>
        <v>1.6832337049279642E-3</v>
      </c>
      <c r="P40" s="36"/>
    </row>
    <row r="41" spans="1:16" x14ac:dyDescent="0.2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>
        <f>VLOOKUP(B41,[1]Brokers!$B$9:$H$67,7,0)</f>
        <v>6674661.3200000003</v>
      </c>
      <c r="H41" s="17">
        <f>VLOOKUP(B41,[1]Brokers!$B$9:$W$67,22,0)</f>
        <v>0</v>
      </c>
      <c r="I41" s="17">
        <f>VLOOKUP(B41,[2]Brokers!$B$9:$R$67,17,0)</f>
        <v>0</v>
      </c>
      <c r="J41" s="17">
        <f>VLOOKUP(B41,[1]Brokers!$B$9:$W$67,12,0)</f>
        <v>0</v>
      </c>
      <c r="K41" s="17">
        <v>0</v>
      </c>
      <c r="L41" s="17">
        <v>0</v>
      </c>
      <c r="M41" s="18">
        <f>L41+I41+J41+H41+G41</f>
        <v>6674661.3200000003</v>
      </c>
      <c r="N41" s="31">
        <f>(VLOOKUP(B41,[3]Sheet1!$B$16:$N$74,13,0))+6674661.32</f>
        <v>378211850.64000005</v>
      </c>
      <c r="O41" s="34">
        <f>N41/$N$75</f>
        <v>1.643119132450536E-3</v>
      </c>
      <c r="P41" s="36"/>
    </row>
    <row r="42" spans="1:16" x14ac:dyDescent="0.25">
      <c r="A42" s="12">
        <v>27</v>
      </c>
      <c r="B42" s="13" t="s">
        <v>77</v>
      </c>
      <c r="C42" s="14" t="s">
        <v>78</v>
      </c>
      <c r="D42" s="15" t="s">
        <v>14</v>
      </c>
      <c r="E42" s="16"/>
      <c r="F42" s="16"/>
      <c r="G42" s="17">
        <f>VLOOKUP(B42,[1]Brokers!$B$9:$H$67,7,0)</f>
        <v>63243742</v>
      </c>
      <c r="H42" s="17">
        <f>VLOOKUP(B42,[1]Brokers!$B$9:$W$67,22,0)</f>
        <v>0</v>
      </c>
      <c r="I42" s="17">
        <f>VLOOKUP(B42,[2]Brokers!$B$9:$R$67,17,0)</f>
        <v>0</v>
      </c>
      <c r="J42" s="17">
        <f>VLOOKUP(B42,[1]Brokers!$B$9:$W$67,12,0)</f>
        <v>0</v>
      </c>
      <c r="K42" s="17">
        <v>0</v>
      </c>
      <c r="L42" s="17">
        <v>0</v>
      </c>
      <c r="M42" s="18">
        <f>L42+I42+J42+H42+G42</f>
        <v>63243742</v>
      </c>
      <c r="N42" s="31">
        <f>(VLOOKUP(B42,[3]Sheet1!$B$16:$N$74,13,0))+63243742</f>
        <v>371834263.88000005</v>
      </c>
      <c r="O42" s="34">
        <f>N42/$N$75</f>
        <v>1.6154120820064881E-3</v>
      </c>
      <c r="P42" s="36"/>
    </row>
    <row r="43" spans="1:16" x14ac:dyDescent="0.2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VLOOKUP(B43,[1]Brokers!$B$9:$H$67,7,0)</f>
        <v>29490890</v>
      </c>
      <c r="H43" s="17">
        <f>VLOOKUP(B43,[1]Brokers!$B$9:$W$67,22,0)</f>
        <v>0</v>
      </c>
      <c r="I43" s="17">
        <f>VLOOKUP(B43,[2]Brokers!$B$9:$R$67,17,0)</f>
        <v>0</v>
      </c>
      <c r="J43" s="17">
        <f>VLOOKUP(B43,[1]Brokers!$B$9:$W$67,12,0)</f>
        <v>0</v>
      </c>
      <c r="K43" s="17">
        <v>0</v>
      </c>
      <c r="L43" s="17">
        <v>0</v>
      </c>
      <c r="M43" s="18">
        <f>L43+I43+J43+H43+G43</f>
        <v>29490890</v>
      </c>
      <c r="N43" s="31">
        <f>(VLOOKUP(B43,[3]Sheet1!$B$16:$N$74,13,0))+29490890</f>
        <v>291909743.94999999</v>
      </c>
      <c r="O43" s="34">
        <f>N43/$N$75</f>
        <v>1.2681847076482235E-3</v>
      </c>
      <c r="P43" s="36"/>
    </row>
    <row r="44" spans="1:16" x14ac:dyDescent="0.2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>
        <f>VLOOKUP(B44,[1]Brokers!$B$9:$H$67,7,0)</f>
        <v>11735102.5</v>
      </c>
      <c r="H44" s="17">
        <f>VLOOKUP(B44,[1]Brokers!$B$9:$W$67,22,0)</f>
        <v>0</v>
      </c>
      <c r="I44" s="17">
        <f>VLOOKUP(B44,[2]Brokers!$B$9:$R$67,17,0)</f>
        <v>0</v>
      </c>
      <c r="J44" s="17">
        <f>VLOOKUP(B44,[1]Brokers!$B$9:$W$67,12,0)</f>
        <v>0</v>
      </c>
      <c r="K44" s="17">
        <v>0</v>
      </c>
      <c r="L44" s="17">
        <v>0</v>
      </c>
      <c r="M44" s="18">
        <f>L44+I44+J44+H44+G44</f>
        <v>11735102.5</v>
      </c>
      <c r="N44" s="31">
        <f>(VLOOKUP(B44,[3]Sheet1!$B$16:$N$74,13,0))+11735102.5</f>
        <v>267835835.86000001</v>
      </c>
      <c r="O44" s="34">
        <f>N44/$N$75</f>
        <v>1.1635970303752916E-3</v>
      </c>
      <c r="P44" s="36"/>
    </row>
    <row r="45" spans="1:16" x14ac:dyDescent="0.25">
      <c r="A45" s="12">
        <v>30</v>
      </c>
      <c r="B45" s="13" t="s">
        <v>49</v>
      </c>
      <c r="C45" s="14" t="s">
        <v>50</v>
      </c>
      <c r="D45" s="15" t="s">
        <v>14</v>
      </c>
      <c r="E45" s="16"/>
      <c r="F45" s="16"/>
      <c r="G45" s="17">
        <f>VLOOKUP(B45,[1]Brokers!$B$9:$H$67,7,0)</f>
        <v>26030980</v>
      </c>
      <c r="H45" s="17">
        <f>VLOOKUP(B45,[1]Brokers!$B$9:$W$67,22,0)</f>
        <v>0</v>
      </c>
      <c r="I45" s="17">
        <f>VLOOKUP(B45,[2]Brokers!$B$9:$R$67,17,0)</f>
        <v>0</v>
      </c>
      <c r="J45" s="17">
        <f>VLOOKUP(B45,[1]Brokers!$B$9:$W$67,12,0)</f>
        <v>0</v>
      </c>
      <c r="K45" s="17">
        <v>0</v>
      </c>
      <c r="L45" s="17">
        <v>0</v>
      </c>
      <c r="M45" s="18">
        <f>L45+I45+J45+H45+G45</f>
        <v>26030980</v>
      </c>
      <c r="N45" s="31">
        <f>(VLOOKUP(B45,[3]Sheet1!$B$16:$N$74,13,0))+26030980</f>
        <v>216263329.91</v>
      </c>
      <c r="O45" s="34">
        <f>N45/$N$75</f>
        <v>9.3954331262036204E-4</v>
      </c>
      <c r="P45" s="36"/>
    </row>
    <row r="46" spans="1:16" x14ac:dyDescent="0.2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VLOOKUP(B46,[1]Brokers!$B$9:$H$67,7,0)</f>
        <v>23601426</v>
      </c>
      <c r="H46" s="17">
        <f>VLOOKUP(B46,[1]Brokers!$B$9:$W$67,22,0)</f>
        <v>0</v>
      </c>
      <c r="I46" s="17">
        <f>VLOOKUP(B46,[2]Brokers!$B$9:$R$67,17,0)</f>
        <v>0</v>
      </c>
      <c r="J46" s="17">
        <f>VLOOKUP(B46,[1]Brokers!$B$9:$W$67,12,0)</f>
        <v>0</v>
      </c>
      <c r="K46" s="17">
        <v>0</v>
      </c>
      <c r="L46" s="17">
        <v>0</v>
      </c>
      <c r="M46" s="18">
        <f>L46+I46+J46+H46+G46</f>
        <v>23601426</v>
      </c>
      <c r="N46" s="31">
        <f>(VLOOKUP(B46,[3]Sheet1!$B$16:$N$74,13,0))+23601426</f>
        <v>188966592.82999998</v>
      </c>
      <c r="O46" s="34">
        <f>N46/$N$75</f>
        <v>8.2095424442029644E-4</v>
      </c>
      <c r="P46" s="36"/>
    </row>
    <row r="47" spans="1:16" x14ac:dyDescent="0.25">
      <c r="A47" s="12">
        <v>32</v>
      </c>
      <c r="B47" s="13" t="s">
        <v>75</v>
      </c>
      <c r="C47" s="14" t="s">
        <v>76</v>
      </c>
      <c r="D47" s="15" t="s">
        <v>14</v>
      </c>
      <c r="E47" s="16"/>
      <c r="F47" s="16"/>
      <c r="G47" s="17">
        <f>VLOOKUP(B47,[1]Brokers!$B$9:$H$67,7,0)</f>
        <v>0</v>
      </c>
      <c r="H47" s="17">
        <f>VLOOKUP(B47,[1]Brokers!$B$9:$W$67,22,0)</f>
        <v>0</v>
      </c>
      <c r="I47" s="17">
        <f>VLOOKUP(B47,[2]Brokers!$B$9:$R$67,17,0)</f>
        <v>0</v>
      </c>
      <c r="J47" s="17">
        <f>VLOOKUP(B47,[1]Brokers!$B$9:$W$67,12,0)</f>
        <v>0</v>
      </c>
      <c r="K47" s="17">
        <v>0</v>
      </c>
      <c r="L47" s="17">
        <v>0</v>
      </c>
      <c r="M47" s="18">
        <f>L47+I47+J47+H47+G47</f>
        <v>0</v>
      </c>
      <c r="N47" s="31">
        <f>(VLOOKUP(B47,[3]Sheet1!$B$16:$N$74,13,0))+0</f>
        <v>176331062</v>
      </c>
      <c r="O47" s="34">
        <f>N47/$N$75</f>
        <v>7.6605992415955046E-4</v>
      </c>
      <c r="P47" s="36"/>
    </row>
    <row r="48" spans="1:16" x14ac:dyDescent="0.2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>
        <f>VLOOKUP(B48,[1]Brokers!$B$9:$H$67,7,0)</f>
        <v>71009385.549999997</v>
      </c>
      <c r="H48" s="17">
        <f>VLOOKUP(B48,[1]Brokers!$B$9:$W$67,22,0)</f>
        <v>0</v>
      </c>
      <c r="I48" s="17">
        <f>VLOOKUP(B48,[2]Brokers!$B$9:$R$67,17,0)</f>
        <v>0</v>
      </c>
      <c r="J48" s="17">
        <f>VLOOKUP(B48,[1]Brokers!$B$9:$W$67,12,0)</f>
        <v>0</v>
      </c>
      <c r="K48" s="17">
        <v>0</v>
      </c>
      <c r="L48" s="17">
        <v>0</v>
      </c>
      <c r="M48" s="18">
        <f>L48+I48+J48+H48+G48</f>
        <v>71009385.549999997</v>
      </c>
      <c r="N48" s="31">
        <f>(VLOOKUP(B48,[3]Sheet1!$B$16:$N$74,13,0))+71009385.55</f>
        <v>150297899.26999998</v>
      </c>
      <c r="O48" s="34">
        <f>N48/$N$75</f>
        <v>6.5296038037878962E-4</v>
      </c>
      <c r="P48" s="36"/>
    </row>
    <row r="49" spans="1:17" x14ac:dyDescent="0.25">
      <c r="A49" s="12">
        <v>34</v>
      </c>
      <c r="B49" s="13" t="s">
        <v>80</v>
      </c>
      <c r="C49" s="14" t="s">
        <v>81</v>
      </c>
      <c r="D49" s="15" t="s">
        <v>14</v>
      </c>
      <c r="E49" s="16"/>
      <c r="F49" s="16"/>
      <c r="G49" s="17">
        <f>VLOOKUP(B49,[1]Brokers!$B$9:$H$67,7,0)</f>
        <v>4581788.2</v>
      </c>
      <c r="H49" s="17">
        <f>VLOOKUP(B49,[1]Brokers!$B$9:$W$67,22,0)</f>
        <v>0</v>
      </c>
      <c r="I49" s="17">
        <f>VLOOKUP(B49,[2]Brokers!$B$9:$R$67,17,0)</f>
        <v>0</v>
      </c>
      <c r="J49" s="17">
        <f>VLOOKUP(B49,[1]Brokers!$B$9:$W$67,12,0)</f>
        <v>0</v>
      </c>
      <c r="K49" s="17">
        <v>0</v>
      </c>
      <c r="L49" s="17">
        <v>0</v>
      </c>
      <c r="M49" s="18">
        <f>L49+I49+J49+H49+G49</f>
        <v>4581788.2</v>
      </c>
      <c r="N49" s="31">
        <f>(VLOOKUP(B49,[3]Sheet1!$B$16:$N$74,13,0))+4581788.2</f>
        <v>140349232.84</v>
      </c>
      <c r="O49" s="34">
        <f>N49/$N$75</f>
        <v>6.0973898441819341E-4</v>
      </c>
      <c r="P49" s="36"/>
    </row>
    <row r="50" spans="1:17" x14ac:dyDescent="0.2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VLOOKUP(B50,[1]Brokers!$B$9:$H$67,7,0)</f>
        <v>9520461</v>
      </c>
      <c r="H50" s="17">
        <f>VLOOKUP(B50,[1]Brokers!$B$9:$W$67,22,0)</f>
        <v>0</v>
      </c>
      <c r="I50" s="17">
        <f>VLOOKUP(B50,[2]Brokers!$B$9:$R$67,17,0)</f>
        <v>0</v>
      </c>
      <c r="J50" s="17">
        <f>VLOOKUP(B50,[1]Brokers!$B$9:$W$67,12,0)</f>
        <v>0</v>
      </c>
      <c r="K50" s="17">
        <v>0</v>
      </c>
      <c r="L50" s="17">
        <v>0</v>
      </c>
      <c r="M50" s="18">
        <f>L50+I50+J50+H50+G50</f>
        <v>9520461</v>
      </c>
      <c r="N50" s="31">
        <f>(VLOOKUP(B50,[3]Sheet1!$B$16:$N$74,13,0))+9520461</f>
        <v>134713028.76999998</v>
      </c>
      <c r="O50" s="34">
        <f>N50/$N$75</f>
        <v>5.8525282745050056E-4</v>
      </c>
      <c r="P50" s="36"/>
    </row>
    <row r="51" spans="1:17" s="20" customFormat="1" x14ac:dyDescent="0.25">
      <c r="A51" s="12">
        <v>36</v>
      </c>
      <c r="B51" s="13" t="s">
        <v>63</v>
      </c>
      <c r="C51" s="14" t="s">
        <v>64</v>
      </c>
      <c r="D51" s="15" t="s">
        <v>14</v>
      </c>
      <c r="E51" s="16"/>
      <c r="F51" s="16"/>
      <c r="G51" s="17">
        <f>VLOOKUP(B51,[1]Brokers!$B$9:$H$67,7,0)</f>
        <v>48692060.090000004</v>
      </c>
      <c r="H51" s="17">
        <f>VLOOKUP(B51,[1]Brokers!$B$9:$W$67,22,0)</f>
        <v>0</v>
      </c>
      <c r="I51" s="17">
        <f>VLOOKUP(B51,[2]Brokers!$B$9:$R$67,17,0)</f>
        <v>0</v>
      </c>
      <c r="J51" s="17">
        <f>VLOOKUP(B51,[1]Brokers!$B$9:$W$67,12,0)</f>
        <v>0</v>
      </c>
      <c r="K51" s="17">
        <v>0</v>
      </c>
      <c r="L51" s="17">
        <v>0</v>
      </c>
      <c r="M51" s="18">
        <f>L51+I51+J51+H51+G51</f>
        <v>48692060.090000004</v>
      </c>
      <c r="N51" s="31">
        <f>(VLOOKUP(B51,[3]Sheet1!$B$16:$N$74,13,0))+48692060.09</f>
        <v>130256364.21000001</v>
      </c>
      <c r="O51" s="34">
        <f>N51/$N$75</f>
        <v>5.6589111048404727E-4</v>
      </c>
      <c r="P51" s="36"/>
      <c r="Q51" s="19"/>
    </row>
    <row r="52" spans="1:17" x14ac:dyDescent="0.25">
      <c r="A52" s="12">
        <v>37</v>
      </c>
      <c r="B52" s="13" t="s">
        <v>39</v>
      </c>
      <c r="C52" s="14" t="s">
        <v>40</v>
      </c>
      <c r="D52" s="15" t="s">
        <v>14</v>
      </c>
      <c r="E52" s="16"/>
      <c r="F52" s="16"/>
      <c r="G52" s="17">
        <f>VLOOKUP(B52,[1]Brokers!$B$9:$H$67,7,0)</f>
        <v>22739656.199999999</v>
      </c>
      <c r="H52" s="17">
        <f>VLOOKUP(B52,[1]Brokers!$B$9:$W$67,22,0)</f>
        <v>0</v>
      </c>
      <c r="I52" s="17">
        <f>VLOOKUP(B52,[2]Brokers!$B$9:$R$67,17,0)</f>
        <v>0</v>
      </c>
      <c r="J52" s="17">
        <f>VLOOKUP(B52,[1]Brokers!$B$9:$W$67,12,0)</f>
        <v>0</v>
      </c>
      <c r="K52" s="17">
        <v>0</v>
      </c>
      <c r="L52" s="17">
        <v>0</v>
      </c>
      <c r="M52" s="18">
        <f>L52+I52+J52+H52+G52</f>
        <v>22739656.199999999</v>
      </c>
      <c r="N52" s="31">
        <f>(VLOOKUP(B52,[3]Sheet1!$B$16:$N$74,13,0))+22739656.2</f>
        <v>130154243.60000001</v>
      </c>
      <c r="O52" s="34">
        <f>N52/$N$75</f>
        <v>5.6544745350231974E-4</v>
      </c>
      <c r="P52" s="36"/>
    </row>
    <row r="53" spans="1:17" x14ac:dyDescent="0.2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>
        <f>VLOOKUP(B53,[1]Brokers!$B$9:$H$67,7,0)</f>
        <v>0</v>
      </c>
      <c r="H53" s="17">
        <f>VLOOKUP(B53,[1]Brokers!$B$9:$W$67,22,0)</f>
        <v>0</v>
      </c>
      <c r="I53" s="17">
        <f>VLOOKUP(B53,[2]Brokers!$B$9:$R$67,17,0)</f>
        <v>0</v>
      </c>
      <c r="J53" s="17">
        <f>VLOOKUP(B53,[1]Brokers!$B$9:$W$67,12,0)</f>
        <v>0</v>
      </c>
      <c r="K53" s="17">
        <v>0</v>
      </c>
      <c r="L53" s="17">
        <v>0</v>
      </c>
      <c r="M53" s="18">
        <f>L53+I53+J53+H53+G53</f>
        <v>0</v>
      </c>
      <c r="N53" s="31">
        <f>(VLOOKUP(B53,[3]Sheet1!$B$16:$N$74,13,0))+0</f>
        <v>85575685.23999998</v>
      </c>
      <c r="O53" s="34">
        <f>N53/$N$75</f>
        <v>3.7177852955286994E-4</v>
      </c>
      <c r="P53" s="36"/>
    </row>
    <row r="54" spans="1:17" x14ac:dyDescent="0.2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VLOOKUP(B54,[1]Brokers!$B$9:$H$67,7,0)</f>
        <v>8464980</v>
      </c>
      <c r="H54" s="17">
        <f>VLOOKUP(B54,[1]Brokers!$B$9:$W$67,22,0)</f>
        <v>0</v>
      </c>
      <c r="I54" s="17">
        <f>VLOOKUP(B54,[2]Brokers!$B$9:$R$67,17,0)</f>
        <v>0</v>
      </c>
      <c r="J54" s="17">
        <f>VLOOKUP(B54,[1]Brokers!$B$9:$W$67,12,0)</f>
        <v>0</v>
      </c>
      <c r="K54" s="17">
        <v>0</v>
      </c>
      <c r="L54" s="17">
        <v>0</v>
      </c>
      <c r="M54" s="18">
        <f>L54+I54+J54+H54+G54</f>
        <v>8464980</v>
      </c>
      <c r="N54" s="31">
        <f>(VLOOKUP(B54,[3]Sheet1!$B$16:$N$74,13,0))+8464980</f>
        <v>72756724.969999999</v>
      </c>
      <c r="O54" s="34">
        <f>N54/$N$75</f>
        <v>3.1608731088238705E-4</v>
      </c>
      <c r="P54" s="36"/>
    </row>
    <row r="55" spans="1:17" x14ac:dyDescent="0.2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VLOOKUP(B55,[1]Brokers!$B$9:$H$67,7,0)</f>
        <v>976500</v>
      </c>
      <c r="H55" s="17">
        <f>VLOOKUP(B55,[1]Brokers!$B$9:$W$67,22,0)</f>
        <v>0</v>
      </c>
      <c r="I55" s="17">
        <f>VLOOKUP(B55,[2]Brokers!$B$9:$R$67,17,0)</f>
        <v>0</v>
      </c>
      <c r="J55" s="17">
        <f>VLOOKUP(B55,[1]Brokers!$B$9:$W$67,12,0)</f>
        <v>0</v>
      </c>
      <c r="K55" s="17">
        <v>0</v>
      </c>
      <c r="L55" s="17">
        <v>0</v>
      </c>
      <c r="M55" s="18">
        <f>L55+I55+J55+H55+G55</f>
        <v>976500</v>
      </c>
      <c r="N55" s="31">
        <f>(VLOOKUP(B55,[3]Sheet1!$B$16:$N$74,13,0))+976500</f>
        <v>58143360.419999994</v>
      </c>
      <c r="O55" s="34">
        <f>N55/$N$75</f>
        <v>2.5260040839388014E-4</v>
      </c>
      <c r="P55" s="36"/>
    </row>
    <row r="56" spans="1:17" x14ac:dyDescent="0.25">
      <c r="A56" s="12">
        <v>41</v>
      </c>
      <c r="B56" s="13" t="s">
        <v>135</v>
      </c>
      <c r="C56" s="14" t="s">
        <v>134</v>
      </c>
      <c r="D56" s="15" t="s">
        <v>14</v>
      </c>
      <c r="E56" s="16"/>
      <c r="F56" s="16"/>
      <c r="G56" s="17">
        <f>VLOOKUP(B56,[1]Brokers!$B$9:$H$67,7,0)</f>
        <v>23826865</v>
      </c>
      <c r="H56" s="17">
        <f>VLOOKUP(B56,[1]Brokers!$B$9:$W$67,22,0)</f>
        <v>0</v>
      </c>
      <c r="I56" s="17">
        <f>VLOOKUP(B56,[2]Brokers!$B$9:$R$67,17,0)</f>
        <v>0</v>
      </c>
      <c r="J56" s="17">
        <f>VLOOKUP(B56,[1]Brokers!$B$9:$W$67,12,0)</f>
        <v>0</v>
      </c>
      <c r="K56" s="17"/>
      <c r="L56" s="17">
        <v>0</v>
      </c>
      <c r="M56" s="18">
        <f>L56+I56+J56+H56+G56</f>
        <v>23826865</v>
      </c>
      <c r="N56" s="31">
        <f>(VLOOKUP(B56,[3]Sheet1!$B$16:$N$74,13,0))+23826865</f>
        <v>49855452.149999999</v>
      </c>
      <c r="O56" s="34">
        <f>N56/$N$75</f>
        <v>2.1659407854623535E-4</v>
      </c>
      <c r="P56" s="36"/>
    </row>
    <row r="57" spans="1:17" x14ac:dyDescent="0.25">
      <c r="A57" s="12">
        <v>42</v>
      </c>
      <c r="B57" s="13" t="s">
        <v>90</v>
      </c>
      <c r="C57" s="14" t="s">
        <v>91</v>
      </c>
      <c r="D57" s="15" t="s">
        <v>14</v>
      </c>
      <c r="E57" s="16"/>
      <c r="F57" s="16"/>
      <c r="G57" s="17">
        <f>VLOOKUP(B57,[1]Brokers!$B$9:$H$67,7,0)</f>
        <v>1946310</v>
      </c>
      <c r="H57" s="17">
        <f>VLOOKUP(B57,[1]Brokers!$B$9:$W$67,22,0)</f>
        <v>0</v>
      </c>
      <c r="I57" s="17">
        <f>VLOOKUP(B57,[2]Brokers!$B$9:$R$67,17,0)</f>
        <v>0</v>
      </c>
      <c r="J57" s="17">
        <f>VLOOKUP(B57,[1]Brokers!$B$9:$W$67,12,0)</f>
        <v>0</v>
      </c>
      <c r="K57" s="17">
        <v>0</v>
      </c>
      <c r="L57" s="17">
        <v>0</v>
      </c>
      <c r="M57" s="18">
        <f>L57+I57+J57+H57+G57</f>
        <v>1946310</v>
      </c>
      <c r="N57" s="31">
        <f>(VLOOKUP(B57,[3]Sheet1!$B$16:$N$74,13,0))+1946310</f>
        <v>47631345.030000001</v>
      </c>
      <c r="O57" s="34">
        <f>N57/$N$75</f>
        <v>2.0693157602203507E-4</v>
      </c>
      <c r="P57" s="36"/>
    </row>
    <row r="58" spans="1:17" x14ac:dyDescent="0.2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>
        <f>VLOOKUP(B58,[1]Brokers!$B$9:$H$67,7,0)</f>
        <v>702833.8</v>
      </c>
      <c r="H58" s="17">
        <f>VLOOKUP(B58,[1]Brokers!$B$9:$W$67,22,0)</f>
        <v>0</v>
      </c>
      <c r="I58" s="17">
        <f>VLOOKUP(B58,[2]Brokers!$B$9:$R$67,17,0)</f>
        <v>0</v>
      </c>
      <c r="J58" s="17">
        <f>VLOOKUP(B58,[1]Brokers!$B$9:$W$67,12,0)</f>
        <v>0</v>
      </c>
      <c r="K58" s="17">
        <v>0</v>
      </c>
      <c r="L58" s="17">
        <v>0</v>
      </c>
      <c r="M58" s="18">
        <f>L58+I58+J58+H58+G58</f>
        <v>702833.8</v>
      </c>
      <c r="N58" s="31">
        <f>(VLOOKUP(B58,[3]Sheet1!$B$16:$N$74,13,0))+702833.8</f>
        <v>18962636.300000001</v>
      </c>
      <c r="O58" s="34">
        <f>N58/$N$75</f>
        <v>8.2382057710530539E-5</v>
      </c>
      <c r="P58" s="36"/>
    </row>
    <row r="59" spans="1:17" x14ac:dyDescent="0.2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VLOOKUP(B59,[1]Brokers!$B$9:$H$67,7,0)</f>
        <v>0</v>
      </c>
      <c r="H59" s="17">
        <f>VLOOKUP(B59,[1]Brokers!$B$9:$W$67,22,0)</f>
        <v>0</v>
      </c>
      <c r="I59" s="17">
        <f>VLOOKUP(B59,[2]Brokers!$B$9:$R$67,17,0)</f>
        <v>0</v>
      </c>
      <c r="J59" s="17">
        <f>VLOOKUP(B59,[1]Brokers!$B$9:$W$67,12,0)</f>
        <v>0</v>
      </c>
      <c r="K59" s="17">
        <v>0</v>
      </c>
      <c r="L59" s="17">
        <v>0</v>
      </c>
      <c r="M59" s="18">
        <f>L59+I59+J59+H59+G59</f>
        <v>0</v>
      </c>
      <c r="N59" s="31">
        <f>(VLOOKUP(B59,[3]Sheet1!$B$16:$N$74,13,0))+0</f>
        <v>9603762</v>
      </c>
      <c r="O59" s="34">
        <f>N59/$N$75</f>
        <v>4.1722978957424827E-5</v>
      </c>
      <c r="P59" s="36"/>
    </row>
    <row r="60" spans="1:17" x14ac:dyDescent="0.2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>
        <f>VLOOKUP(B60,[1]Brokers!$B$9:$H$67,7,0)</f>
        <v>0</v>
      </c>
      <c r="H60" s="17">
        <f>VLOOKUP(B60,[1]Brokers!$B$9:$W$67,22,0)</f>
        <v>0</v>
      </c>
      <c r="I60" s="17">
        <f>VLOOKUP(B60,[2]Brokers!$B$9:$R$67,17,0)</f>
        <v>0</v>
      </c>
      <c r="J60" s="17">
        <f>VLOOKUP(B60,[1]Brokers!$B$9:$W$67,12,0)</f>
        <v>0</v>
      </c>
      <c r="K60" s="17">
        <v>0</v>
      </c>
      <c r="L60" s="17">
        <v>0</v>
      </c>
      <c r="M60" s="18">
        <f>L60+I60+J60+H60+G60</f>
        <v>0</v>
      </c>
      <c r="N60" s="31">
        <f>(VLOOKUP(B60,[3]Sheet1!$B$16:$N$74,13,0))+0</f>
        <v>3788300</v>
      </c>
      <c r="O60" s="34">
        <f>N60/$N$75</f>
        <v>1.6458046459753217E-5</v>
      </c>
      <c r="P60" s="36"/>
    </row>
    <row r="61" spans="1:17" x14ac:dyDescent="0.25">
      <c r="A61" s="12">
        <v>46</v>
      </c>
      <c r="B61" s="13" t="s">
        <v>112</v>
      </c>
      <c r="C61" s="14" t="s">
        <v>113</v>
      </c>
      <c r="D61" s="15" t="s">
        <v>14</v>
      </c>
      <c r="E61" s="16"/>
      <c r="F61" s="16"/>
      <c r="G61" s="17">
        <f>VLOOKUP(B61,[1]Brokers!$B$9:$H$67,7,0)</f>
        <v>0</v>
      </c>
      <c r="H61" s="17">
        <f>VLOOKUP(B61,[1]Brokers!$B$9:$W$67,22,0)</f>
        <v>0</v>
      </c>
      <c r="I61" s="17">
        <f>VLOOKUP(B61,[2]Brokers!$B$9:$R$67,17,0)</f>
        <v>0</v>
      </c>
      <c r="J61" s="17">
        <f>VLOOKUP(B61,[1]Brokers!$B$9:$W$67,12,0)</f>
        <v>0</v>
      </c>
      <c r="K61" s="17">
        <v>0</v>
      </c>
      <c r="L61" s="17">
        <v>0</v>
      </c>
      <c r="M61" s="18">
        <f>L61+I61+J61+H61+G61</f>
        <v>0</v>
      </c>
      <c r="N61" s="31">
        <f>(VLOOKUP(B61,[3]Sheet1!$B$16:$N$74,13,0))+0</f>
        <v>0</v>
      </c>
      <c r="O61" s="34">
        <f>N61/$N$75</f>
        <v>0</v>
      </c>
      <c r="P61" s="36"/>
    </row>
    <row r="62" spans="1:17" x14ac:dyDescent="0.25">
      <c r="A62" s="12">
        <v>47</v>
      </c>
      <c r="B62" s="13" t="s">
        <v>114</v>
      </c>
      <c r="C62" s="14" t="s">
        <v>115</v>
      </c>
      <c r="D62" s="15"/>
      <c r="E62" s="16"/>
      <c r="F62" s="16"/>
      <c r="G62" s="17">
        <f>VLOOKUP(B62,[1]Brokers!$B$9:$H$67,7,0)</f>
        <v>0</v>
      </c>
      <c r="H62" s="17">
        <f>VLOOKUP(B62,[1]Brokers!$B$9:$W$67,22,0)</f>
        <v>0</v>
      </c>
      <c r="I62" s="17">
        <f>VLOOKUP(B62,[2]Brokers!$B$9:$R$67,17,0)</f>
        <v>0</v>
      </c>
      <c r="J62" s="17">
        <f>VLOOKUP(B62,[1]Brokers!$B$9:$W$67,12,0)</f>
        <v>0</v>
      </c>
      <c r="K62" s="17">
        <v>0</v>
      </c>
      <c r="L62" s="17">
        <v>0</v>
      </c>
      <c r="M62" s="18">
        <f>L62+I62+J62+H62+G62</f>
        <v>0</v>
      </c>
      <c r="N62" s="31">
        <f>(VLOOKUP(B62,[3]Sheet1!$B$16:$N$74,13,0))+0</f>
        <v>0</v>
      </c>
      <c r="O62" s="34">
        <f>N62/$N$75</f>
        <v>0</v>
      </c>
      <c r="P62" s="36"/>
    </row>
    <row r="63" spans="1:17" x14ac:dyDescent="0.25">
      <c r="A63" s="12">
        <v>48</v>
      </c>
      <c r="B63" s="13" t="s">
        <v>100</v>
      </c>
      <c r="C63" s="14" t="s">
        <v>101</v>
      </c>
      <c r="D63" s="15"/>
      <c r="E63" s="16"/>
      <c r="F63" s="16"/>
      <c r="G63" s="17">
        <f>VLOOKUP(B63,[1]Brokers!$B$9:$H$67,7,0)</f>
        <v>0</v>
      </c>
      <c r="H63" s="17">
        <f>VLOOKUP(B63,[1]Brokers!$B$9:$W$67,22,0)</f>
        <v>0</v>
      </c>
      <c r="I63" s="17">
        <f>VLOOKUP(B63,[2]Brokers!$B$9:$R$67,17,0)</f>
        <v>0</v>
      </c>
      <c r="J63" s="17">
        <f>VLOOKUP(B63,[1]Brokers!$B$9:$W$67,12,0)</f>
        <v>0</v>
      </c>
      <c r="K63" s="17">
        <v>0</v>
      </c>
      <c r="L63" s="17">
        <v>0</v>
      </c>
      <c r="M63" s="18">
        <f>L63+I63+J63+H63+G63</f>
        <v>0</v>
      </c>
      <c r="N63" s="31">
        <f>(VLOOKUP(B63,[3]Sheet1!$B$16:$N$74,13,0))+0</f>
        <v>0</v>
      </c>
      <c r="O63" s="34">
        <f>N63/$N$75</f>
        <v>0</v>
      </c>
      <c r="P63" s="36"/>
    </row>
    <row r="64" spans="1:17" x14ac:dyDescent="0.25">
      <c r="A64" s="12">
        <v>49</v>
      </c>
      <c r="B64" s="13" t="s">
        <v>120</v>
      </c>
      <c r="C64" s="14" t="s">
        <v>121</v>
      </c>
      <c r="D64" s="15"/>
      <c r="E64" s="16"/>
      <c r="F64" s="16"/>
      <c r="G64" s="17">
        <f>VLOOKUP(B64,[1]Brokers!$B$9:$H$67,7,0)</f>
        <v>0</v>
      </c>
      <c r="H64" s="17">
        <f>VLOOKUP(B64,[1]Brokers!$B$9:$W$67,22,0)</f>
        <v>0</v>
      </c>
      <c r="I64" s="17">
        <f>VLOOKUP(B64,[2]Brokers!$B$9:$R$67,17,0)</f>
        <v>0</v>
      </c>
      <c r="J64" s="17">
        <f>VLOOKUP(B64,[1]Brokers!$B$9:$W$67,12,0)</f>
        <v>0</v>
      </c>
      <c r="K64" s="17">
        <v>0</v>
      </c>
      <c r="L64" s="17">
        <v>0</v>
      </c>
      <c r="M64" s="18">
        <f>L64+I64+J64+H64+G64</f>
        <v>0</v>
      </c>
      <c r="N64" s="31">
        <f>(VLOOKUP(B64,[3]Sheet1!$B$16:$N$74,13,0))+0</f>
        <v>0</v>
      </c>
      <c r="O64" s="34">
        <f>N64/$N$75</f>
        <v>0</v>
      </c>
      <c r="P64" s="36"/>
    </row>
    <row r="65" spans="1:17" x14ac:dyDescent="0.25">
      <c r="A65" s="12">
        <v>50</v>
      </c>
      <c r="B65" s="13" t="s">
        <v>116</v>
      </c>
      <c r="C65" s="14" t="s">
        <v>117</v>
      </c>
      <c r="D65" s="15"/>
      <c r="E65" s="16"/>
      <c r="F65" s="16"/>
      <c r="G65" s="17">
        <f>VLOOKUP(B65,[1]Brokers!$B$9:$H$67,7,0)</f>
        <v>0</v>
      </c>
      <c r="H65" s="17">
        <f>VLOOKUP(B65,[1]Brokers!$B$9:$W$67,22,0)</f>
        <v>0</v>
      </c>
      <c r="I65" s="17">
        <f>VLOOKUP(B65,[2]Brokers!$B$9:$R$67,17,0)</f>
        <v>0</v>
      </c>
      <c r="J65" s="17">
        <f>VLOOKUP(B65,[1]Brokers!$B$9:$W$67,12,0)</f>
        <v>0</v>
      </c>
      <c r="K65" s="17">
        <v>0</v>
      </c>
      <c r="L65" s="17">
        <v>0</v>
      </c>
      <c r="M65" s="18">
        <f>L65+I65+J65+H65+G65</f>
        <v>0</v>
      </c>
      <c r="N65" s="31">
        <f>(VLOOKUP(B65,[3]Sheet1!$B$16:$N$74,13,0))+0</f>
        <v>0</v>
      </c>
      <c r="O65" s="34">
        <f>N65/$N$75</f>
        <v>0</v>
      </c>
      <c r="P65" s="36"/>
    </row>
    <row r="66" spans="1:17" x14ac:dyDescent="0.2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>
        <f>VLOOKUP(B66,[1]Brokers!$B$9:$H$67,7,0)</f>
        <v>0</v>
      </c>
      <c r="H66" s="17">
        <f>VLOOKUP(B66,[1]Brokers!$B$9:$W$67,22,0)</f>
        <v>0</v>
      </c>
      <c r="I66" s="17">
        <f>VLOOKUP(B66,[2]Brokers!$B$9:$R$67,17,0)</f>
        <v>0</v>
      </c>
      <c r="J66" s="17">
        <f>VLOOKUP(B66,[1]Brokers!$B$9:$W$67,12,0)</f>
        <v>0</v>
      </c>
      <c r="K66" s="17">
        <v>0</v>
      </c>
      <c r="L66" s="17">
        <v>0</v>
      </c>
      <c r="M66" s="18">
        <f>L66+I66+J66+H66+G66</f>
        <v>0</v>
      </c>
      <c r="N66" s="31">
        <f>(VLOOKUP(B66,[3]Sheet1!$B$16:$N$74,13,0))+0</f>
        <v>0</v>
      </c>
      <c r="O66" s="34">
        <f>N66/$N$75</f>
        <v>0</v>
      </c>
      <c r="P66" s="36"/>
      <c r="Q66" s="21"/>
    </row>
    <row r="67" spans="1:17" x14ac:dyDescent="0.25">
      <c r="A67" s="12">
        <v>52</v>
      </c>
      <c r="B67" s="13" t="s">
        <v>110</v>
      </c>
      <c r="C67" s="14" t="s">
        <v>111</v>
      </c>
      <c r="D67" s="15"/>
      <c r="E67" s="16"/>
      <c r="F67" s="16"/>
      <c r="G67" s="17">
        <f>VLOOKUP(B67,[1]Brokers!$B$9:$H$67,7,0)</f>
        <v>0</v>
      </c>
      <c r="H67" s="17">
        <f>VLOOKUP(B67,[1]Brokers!$B$9:$W$67,22,0)</f>
        <v>0</v>
      </c>
      <c r="I67" s="17">
        <f>VLOOKUP(B67,[2]Brokers!$B$9:$R$67,17,0)</f>
        <v>0</v>
      </c>
      <c r="J67" s="17">
        <f>VLOOKUP(B67,[1]Brokers!$B$9:$W$67,12,0)</f>
        <v>0</v>
      </c>
      <c r="K67" s="17">
        <v>0</v>
      </c>
      <c r="L67" s="17">
        <v>0</v>
      </c>
      <c r="M67" s="18">
        <f>L67+I67+J67+H67+G67</f>
        <v>0</v>
      </c>
      <c r="N67" s="31">
        <f>(VLOOKUP(B67,[3]Sheet1!$B$16:$N$74,13,0))+0</f>
        <v>0</v>
      </c>
      <c r="O67" s="34">
        <f>N67/$N$75</f>
        <v>0</v>
      </c>
      <c r="P67" s="36"/>
    </row>
    <row r="68" spans="1:17" x14ac:dyDescent="0.25">
      <c r="A68" s="12">
        <v>53</v>
      </c>
      <c r="B68" s="13" t="s">
        <v>71</v>
      </c>
      <c r="C68" s="14" t="s">
        <v>72</v>
      </c>
      <c r="D68" s="15" t="s">
        <v>14</v>
      </c>
      <c r="E68" s="16" t="s">
        <v>14</v>
      </c>
      <c r="F68" s="16"/>
      <c r="G68" s="17">
        <f>VLOOKUP(B68,[1]Brokers!$B$9:$H$67,7,0)</f>
        <v>0</v>
      </c>
      <c r="H68" s="17">
        <f>VLOOKUP(B68,[1]Brokers!$B$9:$W$67,22,0)</f>
        <v>0</v>
      </c>
      <c r="I68" s="17">
        <f>VLOOKUP(B68,[2]Brokers!$B$9:$R$67,17,0)</f>
        <v>0</v>
      </c>
      <c r="J68" s="17">
        <f>VLOOKUP(B68,[1]Brokers!$B$9:$W$67,12,0)</f>
        <v>0</v>
      </c>
      <c r="K68" s="17">
        <v>0</v>
      </c>
      <c r="L68" s="17">
        <v>0</v>
      </c>
      <c r="M68" s="18">
        <f>L68+I68+J68+H68+G68</f>
        <v>0</v>
      </c>
      <c r="N68" s="31">
        <f>(VLOOKUP(B68,[3]Sheet1!$B$16:$N$74,13,0))+0</f>
        <v>0</v>
      </c>
      <c r="O68" s="34">
        <f>N68/$N$75</f>
        <v>0</v>
      </c>
      <c r="P68" s="36"/>
    </row>
    <row r="69" spans="1:17" x14ac:dyDescent="0.25">
      <c r="A69" s="12">
        <v>54</v>
      </c>
      <c r="B69" s="13" t="s">
        <v>92</v>
      </c>
      <c r="C69" s="14" t="s">
        <v>93</v>
      </c>
      <c r="D69" s="15" t="s">
        <v>14</v>
      </c>
      <c r="E69" s="16" t="s">
        <v>14</v>
      </c>
      <c r="F69" s="16" t="s">
        <v>14</v>
      </c>
      <c r="G69" s="17">
        <f>VLOOKUP(B69,[1]Brokers!$B$9:$H$67,7,0)</f>
        <v>0</v>
      </c>
      <c r="H69" s="17">
        <f>VLOOKUP(B69,[1]Brokers!$B$9:$W$67,22,0)</f>
        <v>0</v>
      </c>
      <c r="I69" s="17">
        <f>VLOOKUP(B69,[2]Brokers!$B$9:$R$67,17,0)</f>
        <v>0</v>
      </c>
      <c r="J69" s="17">
        <f>VLOOKUP(B69,[1]Brokers!$B$9:$W$67,12,0)</f>
        <v>0</v>
      </c>
      <c r="K69" s="17">
        <v>0</v>
      </c>
      <c r="L69" s="17">
        <v>0</v>
      </c>
      <c r="M69" s="18">
        <f>L69+I69+J69+H69+G69</f>
        <v>0</v>
      </c>
      <c r="N69" s="31">
        <f>(VLOOKUP(B69,[3]Sheet1!$B$16:$N$74,13,0))+0</f>
        <v>0</v>
      </c>
      <c r="O69" s="34">
        <f>N69/$N$75</f>
        <v>0</v>
      </c>
      <c r="P69" s="36"/>
    </row>
    <row r="70" spans="1:17" x14ac:dyDescent="0.2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VLOOKUP(B70,[1]Brokers!$B$9:$H$67,7,0)</f>
        <v>0</v>
      </c>
      <c r="H70" s="17">
        <f>VLOOKUP(B70,[1]Brokers!$B$9:$W$67,22,0)</f>
        <v>0</v>
      </c>
      <c r="I70" s="17">
        <f>VLOOKUP(B70,[2]Brokers!$B$9:$R$67,17,0)</f>
        <v>0</v>
      </c>
      <c r="J70" s="17">
        <f>VLOOKUP(B70,[1]Brokers!$B$9:$W$67,12,0)</f>
        <v>0</v>
      </c>
      <c r="K70" s="17">
        <v>0</v>
      </c>
      <c r="L70" s="17">
        <v>0</v>
      </c>
      <c r="M70" s="18">
        <f>L70+I70+J70+H70+G70</f>
        <v>0</v>
      </c>
      <c r="N70" s="31">
        <f>(VLOOKUP(B70,[3]Sheet1!$B$16:$N$74,13,0))+0</f>
        <v>0</v>
      </c>
      <c r="O70" s="34">
        <f>N70/$N$75</f>
        <v>0</v>
      </c>
      <c r="P70" s="36"/>
    </row>
    <row r="71" spans="1:17" x14ac:dyDescent="0.2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VLOOKUP(B71,[1]Brokers!$B$9:$H$67,7,0)</f>
        <v>0</v>
      </c>
      <c r="H71" s="17">
        <f>VLOOKUP(B71,[1]Brokers!$B$9:$W$67,22,0)</f>
        <v>0</v>
      </c>
      <c r="I71" s="17">
        <f>VLOOKUP(B71,[2]Brokers!$B$9:$R$67,17,0)</f>
        <v>0</v>
      </c>
      <c r="J71" s="17">
        <f>VLOOKUP(B71,[1]Brokers!$B$9:$W$67,12,0)</f>
        <v>0</v>
      </c>
      <c r="K71" s="17">
        <v>0</v>
      </c>
      <c r="L71" s="17">
        <v>0</v>
      </c>
      <c r="M71" s="18">
        <f>L71+I71+J71+H71+G71</f>
        <v>0</v>
      </c>
      <c r="N71" s="31">
        <f>(VLOOKUP(B71,[3]Sheet1!$B$16:$N$74,13,0))+0</f>
        <v>0</v>
      </c>
      <c r="O71" s="34">
        <f>N71/$N$75</f>
        <v>0</v>
      </c>
      <c r="P71" s="36"/>
    </row>
    <row r="72" spans="1:17" x14ac:dyDescent="0.2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VLOOKUP(B72,[1]Brokers!$B$9:$H$67,7,0)</f>
        <v>0</v>
      </c>
      <c r="H72" s="17">
        <f>VLOOKUP(B72,[1]Brokers!$B$9:$W$67,22,0)</f>
        <v>0</v>
      </c>
      <c r="I72" s="17">
        <f>VLOOKUP(B72,[2]Brokers!$B$9:$R$67,17,0)</f>
        <v>0</v>
      </c>
      <c r="J72" s="17">
        <f>VLOOKUP(B72,[1]Brokers!$B$9:$W$67,12,0)</f>
        <v>0</v>
      </c>
      <c r="K72" s="17">
        <v>0</v>
      </c>
      <c r="L72" s="17">
        <v>0</v>
      </c>
      <c r="M72" s="18">
        <f>L72+I72+J72+H72+G72</f>
        <v>0</v>
      </c>
      <c r="N72" s="31">
        <f>(VLOOKUP(B72,[3]Sheet1!$B$16:$N$74,13,0))+0</f>
        <v>0</v>
      </c>
      <c r="O72" s="34">
        <f>N72/$N$75</f>
        <v>0</v>
      </c>
      <c r="P72" s="36"/>
    </row>
    <row r="73" spans="1:17" x14ac:dyDescent="0.2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VLOOKUP(B73,[1]Brokers!$B$9:$H$67,7,0)</f>
        <v>0</v>
      </c>
      <c r="H73" s="17">
        <f>VLOOKUP(B73,[1]Brokers!$B$9:$W$67,22,0)</f>
        <v>0</v>
      </c>
      <c r="I73" s="17">
        <f>VLOOKUP(B73,[2]Brokers!$B$9:$R$67,17,0)</f>
        <v>0</v>
      </c>
      <c r="J73" s="17">
        <f>VLOOKUP(B73,[1]Brokers!$B$9:$W$67,12,0)</f>
        <v>0</v>
      </c>
      <c r="K73" s="17">
        <v>0</v>
      </c>
      <c r="L73" s="17">
        <v>0</v>
      </c>
      <c r="M73" s="18">
        <f>L73+I73+J73+H73+G73</f>
        <v>0</v>
      </c>
      <c r="N73" s="31">
        <f>(VLOOKUP(B73,[3]Sheet1!$B$16:$N$74,13,0))+0</f>
        <v>0</v>
      </c>
      <c r="O73" s="34">
        <f>N73/$N$75</f>
        <v>0</v>
      </c>
      <c r="P73" s="36"/>
      <c r="Q73" s="21"/>
    </row>
    <row r="74" spans="1:17" x14ac:dyDescent="0.2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VLOOKUP(B74,[1]Brokers!$B$9:$H$67,7,0)</f>
        <v>0</v>
      </c>
      <c r="H74" s="17">
        <f>VLOOKUP(B74,[1]Brokers!$B$9:$W$67,22,0)</f>
        <v>0</v>
      </c>
      <c r="I74" s="17">
        <f>VLOOKUP(B74,[2]Brokers!$B$9:$R$67,17,0)</f>
        <v>0</v>
      </c>
      <c r="J74" s="17">
        <f>VLOOKUP(B74,[1]Brokers!$B$9:$W$67,12,0)</f>
        <v>0</v>
      </c>
      <c r="K74" s="17">
        <v>0</v>
      </c>
      <c r="L74" s="17">
        <v>0</v>
      </c>
      <c r="M74" s="18">
        <f>L74+I74+J74+H74+G74</f>
        <v>0</v>
      </c>
      <c r="N74" s="31">
        <f>(VLOOKUP(B74,[3]Sheet1!$B$16:$N$74,13,0))+0</f>
        <v>0</v>
      </c>
      <c r="O74" s="34">
        <f>N74/$N$75</f>
        <v>0</v>
      </c>
      <c r="P74" s="36"/>
      <c r="Q74" s="21"/>
    </row>
    <row r="75" spans="1:17" ht="16.5" thickBot="1" x14ac:dyDescent="0.3">
      <c r="A75" s="48" t="s">
        <v>6</v>
      </c>
      <c r="B75" s="49"/>
      <c r="C75" s="50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15307009672.640001</v>
      </c>
      <c r="H75" s="23">
        <f>SUM(H16:H74)</f>
        <v>2936046980</v>
      </c>
      <c r="I75" s="23">
        <f>SUM(I16:I74)</f>
        <v>0</v>
      </c>
      <c r="J75" s="23">
        <f>SUM(J16:J74)</f>
        <v>0</v>
      </c>
      <c r="K75" s="23">
        <f t="shared" ref="K75" si="0">SUM(K16:K74)</f>
        <v>0</v>
      </c>
      <c r="L75" s="23">
        <f>SUM(L16:L74)</f>
        <v>0</v>
      </c>
      <c r="M75" s="23">
        <f>SUM(M16:M74)</f>
        <v>18243056652.639999</v>
      </c>
      <c r="N75" s="32">
        <f>SUM(N16:N74)</f>
        <v>230179201964.4599</v>
      </c>
      <c r="O75" s="33">
        <f>SUM(O16:O74)</f>
        <v>1.0000000000000002</v>
      </c>
      <c r="P75" s="24"/>
      <c r="Q75" s="21"/>
    </row>
    <row r="76" spans="1:17" x14ac:dyDescent="0.25">
      <c r="L76" s="25"/>
      <c r="M76" s="26"/>
      <c r="O76" s="25"/>
      <c r="P76" s="24"/>
      <c r="Q76" s="21"/>
    </row>
    <row r="77" spans="1:17" ht="27.6" customHeight="1" x14ac:dyDescent="0.25">
      <c r="B77" s="37" t="s">
        <v>128</v>
      </c>
      <c r="C77" s="37"/>
      <c r="D77" s="37"/>
      <c r="E77" s="37"/>
      <c r="F77" s="37"/>
      <c r="H77" s="27"/>
      <c r="I77" s="27"/>
      <c r="L77" s="25"/>
      <c r="M77" s="25"/>
      <c r="P77" s="24"/>
      <c r="Q77" s="21"/>
    </row>
    <row r="78" spans="1:17" ht="27.6" customHeight="1" x14ac:dyDescent="0.25">
      <c r="C78" s="38"/>
      <c r="D78" s="38"/>
      <c r="E78" s="38"/>
      <c r="F78" s="38"/>
      <c r="M78" s="25"/>
      <c r="N78" s="25"/>
      <c r="P78" s="24"/>
      <c r="Q78" s="21"/>
    </row>
    <row r="79" spans="1:17" x14ac:dyDescent="0.25">
      <c r="P79" s="24"/>
      <c r="Q79" s="21"/>
    </row>
    <row r="80" spans="1:17" x14ac:dyDescent="0.25">
      <c r="P80" s="24"/>
      <c r="Q80" s="21"/>
    </row>
  </sheetData>
  <sortState ref="B16:O74">
    <sortCondition descending="1" ref="O74"/>
  </sortState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ageMargins left="0.7" right="0.7" top="0.75" bottom="0.75" header="0.3" footer="0.3"/>
  <pageSetup paperSize="9" scale="4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sortState ref="A1:O59">
    <sortCondition descending="1" ref="N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2019-01-30T06:28:43Z</cp:lastPrinted>
  <dcterms:created xsi:type="dcterms:W3CDTF">2017-06-09T07:51:20Z</dcterms:created>
  <dcterms:modified xsi:type="dcterms:W3CDTF">2019-01-30T06:28:49Z</dcterms:modified>
</cp:coreProperties>
</file>