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<sst xmlns="http://schemas.openxmlformats.org/spreadsheetml/2006/main" count="235" uniqueCount="139">
  <si>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</si>
  <si>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</si>
  <si>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</si>
  <si>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</si>
  <si>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</si>
  <si>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</si>
  <si>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</si>
  <si>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</si>
  <si>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</si>
  <si>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</si>
  <si>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</si>
  <si>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</si>
  <si>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</si>
  <si>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</si>
  <si>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</si>
  <si>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</si>
  <si>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</si>
  <si>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</si>
  <si>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</si>
  <si>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</si>
  <si>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</si>
  <si>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</si>
  <si>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</si>
  <si>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</si>
  <si>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</si>
  <si>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</si>
  <si>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</si>
  <si>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</si>
  <si>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</si>
  <si>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</si>
  <si>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</si>
  <si>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</si>
  <si>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</si>
  <si>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</si>
  <si>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</si>
  <si>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</si>
  <si>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</si>
  <si>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</si>
  <si>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</si>
  <si>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</si>
  <si>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</si>
  <si>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</si>
  <si>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</si>
  <si>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</si>
  <si>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</si>
  <si>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</si>
  <si>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</si>
  <si>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</si>
  <si>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</si>
  <si>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</si>
  <si>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</si>
  <si>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</si>
  <si>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</si>
  <si>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</si>
  <si>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</si>
  <si>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</si>
  <si>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</si>
  <si>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</si>
  <si>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</si>
  <si>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</si>
  <si>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</si>
  <si>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</si>
  <si>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</si>
  <si>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</si>
  <si>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</si>
  <si>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</si>
  <si>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</si>
  <si>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</si>
  <si>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</si>
  <si>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</si>
  <si>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</si>
  <si>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</si>
  <si>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</si>
  <si>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</si>
  <si>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</si>
  <si>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</si>
  <si>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</si>
  <si>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</si>
  <si>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</si>
  <si>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</si>
  <si>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</si>
  <si>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</si>
  <si>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</si>
  <si>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</si>
  <si>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</si>
  <si>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</si>
  <si>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</si>
  <si>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</si>
  <si>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</si>
  <si>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</si>
  <si>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</si>
  <si>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</si>
  <si>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</si>
  <si>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</si>
  <si>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</si>
  <si>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</si>
  <si>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</si>
  <si>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</si>
  <si>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</si>
  <si>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</si>
  <si>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</si>
  <si>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</si>
  <si>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</si>
  <si>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</si>
  <si>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</si>
  <si>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</si>
  <si>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</si>
  <si>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</si>
  <si>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</si>
  <si>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</si>
  <si>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</si>
  <si>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</si>
  <si>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</si>
  <si>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</si>
  <si>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</si>
  <si>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</si>
  <si>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</si>
  <si>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</si>
  <si>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</si>
  <si>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</si>
  <si>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</si>
  <si>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</si>
  <si>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</si>
  <si>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</si>
  <si>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</si>
  <si>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</si>
  <si>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</si>
  <si>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</si>
  <si>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</si>
  <si>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</si>
  <si>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</si>
  <si>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</si>
  <si>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</si>
  <si>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</si>
  <si>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</si>
  <si>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</si>
  <si>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</si>
  <si>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 xml:space="preserve">2018 оны 12 дугаар сарын 31-ний байдлаар </t>
  </si>
  <si>
    <t>12-р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</si>
</sst>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43" fontId="2" fillId="2" borderId="5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103.MSE\Desktop\11r%20sa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103.MSE\Desktop\Mnth1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1070</v>
          </cell>
          <cell r="E10">
            <v>395900</v>
          </cell>
          <cell r="F10">
            <v>3500</v>
          </cell>
          <cell r="G10">
            <v>1291500</v>
          </cell>
          <cell r="H10">
            <v>1687400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56</v>
          </cell>
          <cell r="G11">
            <v>1068800</v>
          </cell>
          <cell r="H11">
            <v>1068800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7816403</v>
          </cell>
          <cell r="E12">
            <v>886173633.83</v>
          </cell>
          <cell r="F12">
            <v>7748568</v>
          </cell>
          <cell r="G12">
            <v>992315426.47</v>
          </cell>
          <cell r="H12">
            <v>1878489060.3000002</v>
          </cell>
        </row>
        <row r="13">
          <cell r="B13" t="str">
            <v>ARGB</v>
          </cell>
          <cell r="C13" t="str">
            <v>Аргай бэст ХХК</v>
          </cell>
          <cell r="D13">
            <v>235</v>
          </cell>
          <cell r="E13">
            <v>1551000</v>
          </cell>
          <cell r="F13">
            <v>84</v>
          </cell>
          <cell r="G13">
            <v>298200</v>
          </cell>
          <cell r="H13">
            <v>1849200</v>
          </cell>
        </row>
        <row r="14">
          <cell r="B14" t="str">
            <v>BATS</v>
          </cell>
          <cell r="C14" t="str">
            <v>Батс ХХК</v>
          </cell>
          <cell r="D14">
            <v>72226</v>
          </cell>
          <cell r="E14">
            <v>24604940</v>
          </cell>
          <cell r="F14">
            <v>60027</v>
          </cell>
          <cell r="G14">
            <v>19925549</v>
          </cell>
          <cell r="H14">
            <v>44530489</v>
          </cell>
        </row>
        <row r="15">
          <cell r="B15" t="str">
            <v>BDSC</v>
          </cell>
          <cell r="C15" t="str">
            <v>БиДиСек ХК</v>
          </cell>
          <cell r="D15">
            <v>4201337</v>
          </cell>
          <cell r="E15">
            <v>841784859.46</v>
          </cell>
          <cell r="F15">
            <v>4819118</v>
          </cell>
          <cell r="G15">
            <v>1346887734.26</v>
          </cell>
          <cell r="H15">
            <v>2188672593.7200003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28522</v>
          </cell>
          <cell r="E18">
            <v>15689786</v>
          </cell>
          <cell r="F18">
            <v>14150</v>
          </cell>
          <cell r="G18">
            <v>8485006</v>
          </cell>
          <cell r="H18">
            <v>24174792</v>
          </cell>
        </row>
        <row r="19">
          <cell r="B19" t="str">
            <v>BSK</v>
          </cell>
          <cell r="C19" t="str">
            <v>BLUE SKY</v>
          </cell>
          <cell r="D19">
            <v>2755</v>
          </cell>
          <cell r="E19">
            <v>1160790</v>
          </cell>
          <cell r="F19">
            <v>1328</v>
          </cell>
          <cell r="G19">
            <v>759320</v>
          </cell>
          <cell r="H19">
            <v>1920110</v>
          </cell>
        </row>
        <row r="20">
          <cell r="B20" t="str">
            <v>BULG</v>
          </cell>
          <cell r="C20" t="str">
            <v>Булган брокер ХХК</v>
          </cell>
          <cell r="D20">
            <v>9416</v>
          </cell>
          <cell r="E20">
            <v>4079368</v>
          </cell>
          <cell r="F20">
            <v>7328</v>
          </cell>
          <cell r="G20">
            <v>6599637</v>
          </cell>
          <cell r="H20">
            <v>10679005</v>
          </cell>
        </row>
        <row r="21">
          <cell r="B21" t="str">
            <v>BUMB</v>
          </cell>
          <cell r="C21" t="str">
            <v>Бумбат-Алтай ХХК</v>
          </cell>
          <cell r="D21">
            <v>2575396</v>
          </cell>
          <cell r="E21">
            <v>797513116.4</v>
          </cell>
          <cell r="F21">
            <v>1875468</v>
          </cell>
          <cell r="G21">
            <v>1302669093.48</v>
          </cell>
          <cell r="H21">
            <v>2100182209.88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13459527</v>
          </cell>
          <cell r="E22">
            <v>846269604.17</v>
          </cell>
          <cell r="F22">
            <v>14776937</v>
          </cell>
          <cell r="G22">
            <v>902169142.8299999</v>
          </cell>
          <cell r="H22">
            <v>1748438747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62808</v>
          </cell>
          <cell r="E24">
            <v>20046831.2</v>
          </cell>
          <cell r="F24">
            <v>0</v>
          </cell>
          <cell r="G24">
            <v>0</v>
          </cell>
          <cell r="H24">
            <v>20046831.2</v>
          </cell>
        </row>
        <row r="25">
          <cell r="B25" t="str">
            <v>DCF</v>
          </cell>
          <cell r="C25" t="str">
            <v>Ди Си Эф ХХК</v>
          </cell>
          <cell r="D25">
            <v>7</v>
          </cell>
          <cell r="E25">
            <v>49000</v>
          </cell>
          <cell r="F25">
            <v>0</v>
          </cell>
          <cell r="G25">
            <v>0</v>
          </cell>
          <cell r="H25">
            <v>49000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830</v>
          </cell>
          <cell r="E26">
            <v>1389220</v>
          </cell>
          <cell r="F26">
            <v>2123</v>
          </cell>
          <cell r="G26">
            <v>961041</v>
          </cell>
          <cell r="H26">
            <v>2350261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992</v>
          </cell>
          <cell r="E28">
            <v>2284502.05</v>
          </cell>
          <cell r="F28">
            <v>6043</v>
          </cell>
          <cell r="G28">
            <v>7410811</v>
          </cell>
          <cell r="H28">
            <v>9695313.05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20</v>
          </cell>
          <cell r="G29">
            <v>133800</v>
          </cell>
          <cell r="H29">
            <v>133800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209781</v>
          </cell>
          <cell r="E34">
            <v>57882038.97</v>
          </cell>
          <cell r="F34">
            <v>444103</v>
          </cell>
          <cell r="G34">
            <v>151821426.81</v>
          </cell>
          <cell r="H34">
            <v>209703465.78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780</v>
          </cell>
          <cell r="E35">
            <v>3421900</v>
          </cell>
          <cell r="F35">
            <v>1</v>
          </cell>
          <cell r="G35">
            <v>11600</v>
          </cell>
          <cell r="H35">
            <v>3433500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117821</v>
          </cell>
          <cell r="G36">
            <v>43969468.28</v>
          </cell>
          <cell r="H36">
            <v>43969468.28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119045525</v>
          </cell>
          <cell r="E37">
            <v>85594922732.48</v>
          </cell>
          <cell r="F37">
            <v>118260067</v>
          </cell>
          <cell r="G37">
            <v>86203337377.16</v>
          </cell>
          <cell r="H37">
            <v>171798260109.64</v>
          </cell>
        </row>
        <row r="38">
          <cell r="B38" t="str">
            <v>GNDX</v>
          </cell>
          <cell r="C38" t="str">
            <v>Гендекс ХХК</v>
          </cell>
          <cell r="D38">
            <v>16151</v>
          </cell>
          <cell r="E38">
            <v>6024323</v>
          </cell>
          <cell r="F38">
            <v>72200</v>
          </cell>
          <cell r="G38">
            <v>25631000</v>
          </cell>
          <cell r="H38">
            <v>31655323</v>
          </cell>
        </row>
        <row r="39">
          <cell r="B39" t="str">
            <v>HUN</v>
          </cell>
          <cell r="C39" t="str">
            <v>Хүннү Эмпайр ХХК</v>
          </cell>
          <cell r="D39">
            <v>94283</v>
          </cell>
          <cell r="E39">
            <v>33660428</v>
          </cell>
          <cell r="F39">
            <v>9361</v>
          </cell>
          <cell r="G39">
            <v>2426976</v>
          </cell>
          <cell r="H39">
            <v>36087404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7318</v>
          </cell>
          <cell r="E42">
            <v>46142519</v>
          </cell>
          <cell r="F42">
            <v>0</v>
          </cell>
          <cell r="G42">
            <v>0</v>
          </cell>
          <cell r="H42">
            <v>46142519</v>
          </cell>
        </row>
        <row r="43">
          <cell r="B43" t="str">
            <v>MERG</v>
          </cell>
          <cell r="C43" t="str">
            <v>Мэргэн санаа ХХК</v>
          </cell>
          <cell r="D43">
            <v>209</v>
          </cell>
          <cell r="E43">
            <v>331394</v>
          </cell>
          <cell r="F43">
            <v>11062</v>
          </cell>
          <cell r="G43">
            <v>7738257.95</v>
          </cell>
          <cell r="H43">
            <v>8069651.95</v>
          </cell>
        </row>
        <row r="44">
          <cell r="B44" t="str">
            <v>MIBG</v>
          </cell>
          <cell r="C44" t="str">
            <v>Эм Ай Би Жи ХХК</v>
          </cell>
          <cell r="D44">
            <v>60</v>
          </cell>
          <cell r="E44">
            <v>1140000</v>
          </cell>
          <cell r="F44">
            <v>21</v>
          </cell>
          <cell r="G44">
            <v>157500</v>
          </cell>
          <cell r="H44">
            <v>1297500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233</v>
          </cell>
          <cell r="G45">
            <v>534735</v>
          </cell>
          <cell r="H45">
            <v>534735</v>
          </cell>
        </row>
        <row r="46">
          <cell r="B46" t="str">
            <v>MNET</v>
          </cell>
          <cell r="C46" t="str">
            <v>Ард секюритиз ХХК</v>
          </cell>
          <cell r="D46">
            <v>1678937</v>
          </cell>
          <cell r="E46">
            <v>1158117474.59</v>
          </cell>
          <cell r="F46">
            <v>1048187</v>
          </cell>
          <cell r="G46">
            <v>720939341.45</v>
          </cell>
          <cell r="H46">
            <v>1879056816.04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32241</v>
          </cell>
          <cell r="E48">
            <v>2448906</v>
          </cell>
          <cell r="F48">
            <v>164232</v>
          </cell>
          <cell r="G48">
            <v>12848967.5</v>
          </cell>
          <cell r="H48">
            <v>15297873.5</v>
          </cell>
        </row>
        <row r="49">
          <cell r="B49" t="str">
            <v>MSEC</v>
          </cell>
          <cell r="C49" t="str">
            <v>Монсек ХХК</v>
          </cell>
          <cell r="D49">
            <v>81064</v>
          </cell>
          <cell r="E49">
            <v>27493701</v>
          </cell>
          <cell r="F49">
            <v>141626</v>
          </cell>
          <cell r="G49">
            <v>47284588.4</v>
          </cell>
          <cell r="H49">
            <v>74778289.4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461137</v>
          </cell>
          <cell r="E51">
            <v>62717018.53</v>
          </cell>
          <cell r="F51">
            <v>671029</v>
          </cell>
          <cell r="G51">
            <v>122869601.18</v>
          </cell>
          <cell r="H51">
            <v>185586619.71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204</v>
          </cell>
          <cell r="G52">
            <v>97104</v>
          </cell>
          <cell r="H52">
            <v>97104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3042</v>
          </cell>
          <cell r="E54">
            <v>3614990</v>
          </cell>
          <cell r="F54">
            <v>73250</v>
          </cell>
          <cell r="G54">
            <v>41998255</v>
          </cell>
          <cell r="H54">
            <v>45613245</v>
          </cell>
        </row>
        <row r="55">
          <cell r="B55" t="str">
            <v>SECP</v>
          </cell>
          <cell r="C55" t="str">
            <v>СИКАП</v>
          </cell>
          <cell r="D55">
            <v>39053</v>
          </cell>
          <cell r="E55">
            <v>7698997</v>
          </cell>
          <cell r="F55">
            <v>24</v>
          </cell>
          <cell r="G55">
            <v>228000</v>
          </cell>
          <cell r="H55">
            <v>7926997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1</v>
          </cell>
          <cell r="G57">
            <v>104000</v>
          </cell>
          <cell r="H57">
            <v>104000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826928</v>
          </cell>
          <cell r="E58">
            <v>139104749.63</v>
          </cell>
          <cell r="F58">
            <v>1855977</v>
          </cell>
          <cell r="G58">
            <v>285244295.54</v>
          </cell>
          <cell r="H58">
            <v>424349045.17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11217</v>
          </cell>
          <cell r="G59">
            <v>4893192</v>
          </cell>
          <cell r="H59">
            <v>4893192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28549</v>
          </cell>
          <cell r="E60">
            <v>72395152</v>
          </cell>
          <cell r="F60">
            <v>28595</v>
          </cell>
          <cell r="G60">
            <v>71200028.21</v>
          </cell>
          <cell r="H60">
            <v>143595180.20999998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3406604</v>
          </cell>
          <cell r="E61">
            <v>31946968983.64</v>
          </cell>
          <cell r="F61">
            <v>2298929</v>
          </cell>
          <cell r="G61">
            <v>30238451784.08</v>
          </cell>
          <cell r="H61">
            <v>62185420767.72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36300</v>
          </cell>
          <cell r="E62">
            <v>6169100</v>
          </cell>
          <cell r="F62">
            <v>3000</v>
          </cell>
          <cell r="G62">
            <v>1032000</v>
          </cell>
          <cell r="H62">
            <v>7201100</v>
          </cell>
        </row>
        <row r="63">
          <cell r="B63" t="str">
            <v>TTOL</v>
          </cell>
          <cell r="C63" t="str">
            <v>Апекс Капитал ҮЦК</v>
          </cell>
          <cell r="D63">
            <v>363050</v>
          </cell>
          <cell r="E63">
            <v>85010325.05000001</v>
          </cell>
          <cell r="F63">
            <v>186438</v>
          </cell>
          <cell r="G63">
            <v>137448018</v>
          </cell>
          <cell r="H63">
            <v>222458343.05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51471</v>
          </cell>
          <cell r="E64">
            <v>18633284</v>
          </cell>
          <cell r="F64">
            <v>4751</v>
          </cell>
          <cell r="G64">
            <v>4274975</v>
          </cell>
          <cell r="H64">
            <v>22908259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2365</v>
          </cell>
          <cell r="G66">
            <v>1871145</v>
          </cell>
          <cell r="H66">
            <v>1871145</v>
          </cell>
        </row>
        <row r="67">
          <cell r="B67" t="str">
            <v>ZRGD</v>
          </cell>
          <cell r="C67" t="str">
            <v>Зэргэд ХХК</v>
          </cell>
          <cell r="D67">
            <v>158435</v>
          </cell>
          <cell r="E67">
            <v>20700865.8</v>
          </cell>
          <cell r="F67">
            <v>52998</v>
          </cell>
          <cell r="G67">
            <v>20202736.2</v>
          </cell>
          <cell r="H67">
            <v>40903602</v>
          </cell>
        </row>
        <row r="68">
          <cell r="B68" t="str">
            <v>нийт</v>
          </cell>
          <cell r="D68">
            <v>154772442</v>
          </cell>
          <cell r="E68">
            <v>122737591433.8</v>
          </cell>
          <cell r="F68">
            <v>154772442</v>
          </cell>
          <cell r="G68">
            <v>122737591433.79999</v>
          </cell>
          <cell r="H68">
            <v>245475182867.6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474279611.44</v>
          </cell>
          <cell r="H17">
            <v>1669410040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2143689651.44</v>
          </cell>
          <cell r="N17">
            <v>54810709498.079994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592347733.16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592347733.16</v>
          </cell>
          <cell r="N18">
            <v>37321561273.78</v>
          </cell>
        </row>
        <row r="19">
          <cell r="B19" t="str">
            <v>NOVL</v>
          </cell>
          <cell r="C19" t="str">
            <v>"НОВЕЛ ИНВЕСТМЕНТ ҮЦК" ХХК</v>
          </cell>
          <cell r="D19" t="str">
            <v>●</v>
          </cell>
          <cell r="F19" t="str">
            <v>●</v>
          </cell>
          <cell r="G19">
            <v>364775002.56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364775002.56</v>
          </cell>
          <cell r="N19">
            <v>27925520065.100002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744630387.98</v>
          </cell>
          <cell r="H20">
            <v>57155400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801785787.98</v>
          </cell>
          <cell r="N20">
            <v>23161347528.180004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352285957.58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352285957.58</v>
          </cell>
          <cell r="N21">
            <v>22477848718.08</v>
          </cell>
        </row>
        <row r="22">
          <cell r="B22" t="str">
            <v>GAUL</v>
          </cell>
          <cell r="C22" t="str">
            <v>"ГАҮЛИ ҮЦК" ХХК</v>
          </cell>
          <cell r="D22" t="str">
            <v>●</v>
          </cell>
          <cell r="E22" t="str">
            <v>●</v>
          </cell>
          <cell r="G22">
            <v>134503282.57999998</v>
          </cell>
          <cell r="H22">
            <v>34631600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169134882.57999998</v>
          </cell>
          <cell r="N22">
            <v>18740894073.5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332823237.97</v>
          </cell>
          <cell r="H23">
            <v>0</v>
          </cell>
          <cell r="I23">
            <v>0</v>
          </cell>
          <cell r="J23">
            <v>2040000000</v>
          </cell>
          <cell r="K23">
            <v>0</v>
          </cell>
          <cell r="L23">
            <v>0</v>
          </cell>
          <cell r="M23">
            <v>2372823237.9700003</v>
          </cell>
          <cell r="N23">
            <v>9398138736.77</v>
          </cell>
        </row>
        <row r="24">
          <cell r="B24" t="str">
            <v>MNET</v>
          </cell>
          <cell r="C24" t="str">
            <v>"АРД СЕКЬЮРИТИЗ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651322680.6500001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651322680.6500001</v>
          </cell>
          <cell r="N24">
            <v>9160731523.04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369448376.35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369448376.35</v>
          </cell>
          <cell r="N25">
            <v>8701075172.710001</v>
          </cell>
        </row>
        <row r="26">
          <cell r="B26" t="str">
            <v>DELG</v>
          </cell>
          <cell r="C26" t="str">
            <v>"ДЭЛГЭРХАНГАЙ СЕКЮРИТИЗ ҮЦК" ХХК</v>
          </cell>
          <cell r="D26" t="str">
            <v>●</v>
          </cell>
          <cell r="G26">
            <v>26625636.9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26625636.9</v>
          </cell>
          <cell r="N26">
            <v>7884273837.64</v>
          </cell>
        </row>
        <row r="27">
          <cell r="B27" t="str">
            <v>ARD</v>
          </cell>
          <cell r="C27" t="str">
            <v>"АРД КАПИТАЛ ГРУПП ҮЦК" ХХК</v>
          </cell>
          <cell r="D27" t="str">
            <v>●</v>
          </cell>
          <cell r="E27" t="str">
            <v>●</v>
          </cell>
          <cell r="G27">
            <v>2299670044.2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2299670044.2</v>
          </cell>
          <cell r="N27">
            <v>6523853022.14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G28">
            <v>140697983.4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140697983.4</v>
          </cell>
          <cell r="N28">
            <v>1670175975.2</v>
          </cell>
        </row>
        <row r="29">
          <cell r="B29" t="str">
            <v>MSEC</v>
          </cell>
          <cell r="C29" t="str">
            <v>"МОНСЕК ҮЦК" ХХК</v>
          </cell>
          <cell r="D29" t="str">
            <v>●</v>
          </cell>
          <cell r="E29" t="str">
            <v>●</v>
          </cell>
          <cell r="G29">
            <v>50317467.3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50317467.3</v>
          </cell>
          <cell r="N29">
            <v>1549201916.1399999</v>
          </cell>
        </row>
        <row r="30">
          <cell r="B30" t="str">
            <v>BLMB</v>
          </cell>
          <cell r="C30" t="str">
            <v>"БЛҮМСБЮРИ СЕКЮРИТИЕС ҮЦК" ХХК </v>
          </cell>
          <cell r="D30" t="str">
            <v>●</v>
          </cell>
          <cell r="E30" t="str">
            <v>●</v>
          </cell>
          <cell r="G30">
            <v>25740353.89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25740353.89</v>
          </cell>
          <cell r="N30">
            <v>1407790235.55</v>
          </cell>
        </row>
        <row r="31">
          <cell r="B31" t="str">
            <v>SANR</v>
          </cell>
          <cell r="C31" t="str">
            <v>"САНАР ҮЦК" ХХК</v>
          </cell>
          <cell r="D31" t="str">
            <v>●</v>
          </cell>
          <cell r="G31">
            <v>169028868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169028868</v>
          </cell>
          <cell r="N31">
            <v>980695749.9300001</v>
          </cell>
        </row>
        <row r="32">
          <cell r="B32" t="str">
            <v>BATS</v>
          </cell>
          <cell r="C32" t="str">
            <v>"БАТС ҮЦК" ХХК</v>
          </cell>
          <cell r="D32" t="str">
            <v>●</v>
          </cell>
          <cell r="G32">
            <v>26754442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26754442</v>
          </cell>
          <cell r="N32">
            <v>970969100.01</v>
          </cell>
        </row>
        <row r="33">
          <cell r="B33" t="str">
            <v>GNDX</v>
          </cell>
          <cell r="C33" t="str">
            <v>"ГЕНДЕКС ҮЦК" ХХК</v>
          </cell>
          <cell r="D33" t="str">
            <v>●</v>
          </cell>
          <cell r="G33">
            <v>1161686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1161686</v>
          </cell>
          <cell r="N33">
            <v>847458702.3399999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74090120.07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74090120.07</v>
          </cell>
          <cell r="N34">
            <v>720356667.72</v>
          </cell>
        </row>
        <row r="35">
          <cell r="B35" t="str">
            <v>ECM</v>
          </cell>
          <cell r="C35" t="str">
            <v>"ЕВРАЗИА КАПИТАЛ ХОЛДИНГ ҮЦК" 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3165983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3165983</v>
          </cell>
          <cell r="N35">
            <v>660308110.47</v>
          </cell>
        </row>
        <row r="36">
          <cell r="B36" t="str">
            <v>TCHB</v>
          </cell>
          <cell r="C36" t="str">
            <v>"ТУЛГАТ ЧАНДМАНЬ БАЯН  ҮЦК" ХХК</v>
          </cell>
          <cell r="D36" t="str">
            <v>●</v>
          </cell>
          <cell r="G36">
            <v>9109035.67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9109035.67</v>
          </cell>
          <cell r="N36">
            <v>650289916.7199999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13191696.5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13191696.5</v>
          </cell>
          <cell r="N37">
            <v>596485955.46</v>
          </cell>
        </row>
        <row r="38">
          <cell r="B38" t="str">
            <v>LFTI</v>
          </cell>
          <cell r="C38" t="str">
            <v>"ЛАЙФТАЙМ ИНВЕСТМЕНТ ҮЦК" ХХК</v>
          </cell>
          <cell r="D38" t="str">
            <v>●</v>
          </cell>
          <cell r="E38" t="str">
            <v>●</v>
          </cell>
          <cell r="G38">
            <v>20527250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20527250</v>
          </cell>
          <cell r="N38">
            <v>503135095.31000006</v>
          </cell>
        </row>
        <row r="39">
          <cell r="B39" t="str">
            <v>HUN</v>
          </cell>
          <cell r="C39" t="str">
            <v>"ХҮННҮ ЭМПАЙР ҮЦК" ХХК</v>
          </cell>
          <cell r="D39" t="str">
            <v>●</v>
          </cell>
          <cell r="G39">
            <v>7992890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7992890</v>
          </cell>
          <cell r="N39">
            <v>502667560.15999997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G40">
            <v>14821942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14821942</v>
          </cell>
          <cell r="N40">
            <v>402267332.91999996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1418526.3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1418526.3</v>
          </cell>
          <cell r="N41">
            <v>389932719.14</v>
          </cell>
        </row>
        <row r="42">
          <cell r="B42" t="str">
            <v>TNGR</v>
          </cell>
          <cell r="C42" t="str">
            <v>"ТЭНГЭР КАПИТАЛ 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10785440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10785440</v>
          </cell>
          <cell r="N42">
            <v>388997290.64000005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371834263.88000005</v>
          </cell>
        </row>
        <row r="44">
          <cell r="B44" t="str">
            <v>MIBG</v>
          </cell>
          <cell r="C44" t="str">
            <v>"ЭМ АЙ БИ ЖИ ХХК ҮЦК"</v>
          </cell>
          <cell r="D44" t="str">
            <v>●</v>
          </cell>
          <cell r="E44" t="str">
            <v>●</v>
          </cell>
          <cell r="G44">
            <v>28856437.5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28856437.5</v>
          </cell>
          <cell r="N44">
            <v>320766181.45</v>
          </cell>
        </row>
        <row r="45">
          <cell r="B45" t="str">
            <v>MERG</v>
          </cell>
          <cell r="C45" t="str">
            <v>"МЭРГЭН САНАА ҮЦК" ХХК</v>
          </cell>
          <cell r="D45" t="str">
            <v>●</v>
          </cell>
          <cell r="G45">
            <v>2002715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2002715</v>
          </cell>
          <cell r="N45">
            <v>269838550.86</v>
          </cell>
        </row>
        <row r="46">
          <cell r="B46" t="str">
            <v>BULG</v>
          </cell>
          <cell r="C46" t="str">
            <v>"БУЛГАН БРОКЕР ҮЦК" ХХК</v>
          </cell>
          <cell r="D46" t="str">
            <v>●</v>
          </cell>
          <cell r="G46">
            <v>4072131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4072131</v>
          </cell>
          <cell r="N46">
            <v>220335460.91</v>
          </cell>
        </row>
        <row r="47">
          <cell r="B47" t="str">
            <v>UNDR</v>
          </cell>
          <cell r="C47" t="str">
            <v>"ӨНДӨРХААН ИНВЕСТ ҮЦК" ХХК</v>
          </cell>
          <cell r="D47" t="str">
            <v>●</v>
          </cell>
          <cell r="G47">
            <v>14556060.7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14556060.7</v>
          </cell>
          <cell r="N47">
            <v>203522653.52999997</v>
          </cell>
        </row>
        <row r="48">
          <cell r="B48" t="str">
            <v>NSEC</v>
          </cell>
          <cell r="C48" t="str">
            <v>"НЭЙШНЛ СЕКЮРИТИС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46155675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46155675</v>
          </cell>
          <cell r="N48">
            <v>180868703.76999998</v>
          </cell>
        </row>
        <row r="49">
          <cell r="B49" t="str">
            <v>MONG</v>
          </cell>
          <cell r="C49" t="str">
            <v>"МОНГОЛ СЕКЮРИТИЕС ҮЦК" ХК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176331062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1701000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1701000</v>
          </cell>
          <cell r="N50">
            <v>151998899.26999998</v>
          </cell>
        </row>
        <row r="51">
          <cell r="B51" t="str">
            <v>MSDQ</v>
          </cell>
          <cell r="C51" t="str">
            <v>"МАСДАК ҮНЭТ ЦААСНЫ КОМПАНИ" ХХК</v>
          </cell>
          <cell r="D51" t="str">
            <v>●</v>
          </cell>
          <cell r="G51">
            <v>3179902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3179902</v>
          </cell>
          <cell r="N51">
            <v>143529134.84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G52">
            <v>2967840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2967840</v>
          </cell>
          <cell r="N52">
            <v>133224204.21000001</v>
          </cell>
        </row>
        <row r="53">
          <cell r="B53" t="str">
            <v>APS</v>
          </cell>
          <cell r="C53" t="str">
            <v>"АЗИА ПАСИФИК СЕКЬЮРИТИС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130154243.60000001</v>
          </cell>
        </row>
        <row r="54">
          <cell r="B54" t="str">
            <v>BSK</v>
          </cell>
          <cell r="C54" t="str">
            <v>"БЛЮСКАЙ СЕКЬЮРИТИЗ ҮЦК" ХК</v>
          </cell>
          <cell r="D54" t="str">
            <v>●</v>
          </cell>
          <cell r="G54">
            <v>480181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480181</v>
          </cell>
          <cell r="N54">
            <v>86055866.23999998</v>
          </cell>
        </row>
        <row r="55">
          <cell r="B55" t="str">
            <v>MICC</v>
          </cell>
          <cell r="C55" t="str">
            <v>"ЭМ АЙ СИ СИ  ҮЦК" ХХК</v>
          </cell>
          <cell r="D55" t="str">
            <v>●</v>
          </cell>
          <cell r="E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72756724.97</v>
          </cell>
        </row>
        <row r="56">
          <cell r="B56" t="str">
            <v>SECP</v>
          </cell>
          <cell r="C56" t="str">
            <v>"СИКАП  ҮЦК" ХХК</v>
          </cell>
          <cell r="D56" t="str">
            <v>●</v>
          </cell>
          <cell r="E56" t="str">
            <v>●</v>
          </cell>
          <cell r="G56">
            <v>395000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395000</v>
          </cell>
          <cell r="N56">
            <v>58538360.419999994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6116221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6116221</v>
          </cell>
          <cell r="N57">
            <v>55971673.15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549900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549900</v>
          </cell>
          <cell r="N58">
            <v>48181245.03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10960933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10960933</v>
          </cell>
          <cell r="N59">
            <v>20564695</v>
          </cell>
        </row>
        <row r="60">
          <cell r="B60" t="str">
            <v>ARGB</v>
          </cell>
          <cell r="C60" t="str">
            <v>"АРГАЙ БЭСТ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18962636.3</v>
          </cell>
        </row>
        <row r="61">
          <cell r="B61" t="str">
            <v>FCX</v>
          </cell>
          <cell r="C61" t="str">
            <v>"ЭФ СИ ИКС ҮЦК" ХХК</v>
          </cell>
          <cell r="D61" t="str">
            <v>●</v>
          </cell>
          <cell r="E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3788300</v>
          </cell>
        </row>
        <row r="62">
          <cell r="B62" t="str">
            <v>CTRL</v>
          </cell>
          <cell r="C62" t="str">
            <v>ЦЕНТРАЛ СЕКЬЮРИТИЙЗ ҮЦК</v>
          </cell>
          <cell r="D62" t="str">
            <v>●</v>
          </cell>
          <cell r="G62">
            <v>113500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113500</v>
          </cell>
          <cell r="N62">
            <v>113500</v>
          </cell>
        </row>
        <row r="63">
          <cell r="B63" t="str">
            <v>DCF</v>
          </cell>
          <cell r="C63" t="str">
            <v>ДИ СИ ЭФ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BKHE</v>
          </cell>
          <cell r="C64" t="str">
            <v>БАГА ХЭЭР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GNN</v>
          </cell>
          <cell r="C65" t="str">
            <v>ГОВИЙН НОЁН НУРУУ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BBSS</v>
          </cell>
          <cell r="C67" t="str">
            <v>БИ БИ ЭС ЭС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DGSN</v>
          </cell>
          <cell r="C68" t="str">
            <v>ДОГСОН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CAPM</v>
          </cell>
          <cell r="C70" t="str">
            <v>"КАПИТАЛ МАРКЕТ КОРПОРАЦИ ҮЦК" ХХК</v>
          </cell>
          <cell r="D70" t="str">
            <v>●</v>
          </cell>
          <cell r="E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ACE</v>
          </cell>
          <cell r="C71" t="str">
            <v>"АСЕ ЭНД Т КАПИТАЛ ҮЦК" ХХК</v>
          </cell>
          <cell r="D71" t="str">
            <v>●</v>
          </cell>
          <cell r="E71" t="str">
            <v>●</v>
          </cell>
          <cell r="F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SGC</v>
          </cell>
          <cell r="C72" t="str">
            <v>"ЭС ЖИ КАПИТАЛ ҮЦК" ХХК</v>
          </cell>
          <cell r="D72" t="str">
            <v>●</v>
          </cell>
          <cell r="E72" t="str">
            <v>●</v>
          </cell>
          <cell r="F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FRON</v>
          </cell>
          <cell r="C73" t="str">
            <v>"ФРОНТИЕР ҮЦК" ХХК</v>
          </cell>
          <cell r="D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MWTS</v>
          </cell>
          <cell r="C74" t="str">
            <v>"ЭМ ДАБЛЬЮ ТИ ЭС ҮЦК" ХХК</v>
          </cell>
          <cell r="D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PREV</v>
          </cell>
          <cell r="C75" t="str">
            <v>ПРЕВАЛЕНТ ХХК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B76" t="str">
            <v>ZEUS</v>
          </cell>
          <cell r="C76" t="str">
            <v>ЗЮС КАПИТАЛ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B77" t="str">
            <v>INVC</v>
          </cell>
          <cell r="C77" t="str">
            <v>ИНВЕСКОР КАПИТАЛ ҮЦК</v>
          </cell>
          <cell r="D77" t="str">
            <v>●</v>
          </cell>
          <cell r="E77" t="str">
            <v>●</v>
          </cell>
          <cell r="F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rokers"/>
    </sheetNames>
    <sheetDataSet>
      <sheetData sheetId="0">
        <row r="11">
          <cell r="B11" t="str">
            <v>GLMT</v>
          </cell>
        </row>
        <row r="13">
          <cell r="S13">
            <v>836969140</v>
          </cell>
          <cell r="U13">
            <v>836969140</v>
          </cell>
        </row>
        <row r="15">
          <cell r="S15">
            <v>49900000</v>
          </cell>
          <cell r="U15">
            <v>49900000</v>
          </cell>
        </row>
        <row r="19">
          <cell r="S19">
            <v>3060000</v>
          </cell>
          <cell r="U19">
            <v>3060000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G67" activePane="bottomRight" state="frozen"/>
      <selection pane="topRight" activeCell="D1" sqref="D1"/>
      <selection pane="bottomLeft" activeCell="A16" sqref="A16"/>
      <selection pane="bottomRight" activeCell="N16" sqref="N16:N7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55" t="s">
        <v>0</v>
      </c>
      <c r="E9" s="55"/>
      <c r="F9" s="55"/>
      <c r="G9" s="55"/>
      <c r="H9" s="55"/>
      <c r="I9" s="55"/>
      <c r="J9" s="55"/>
      <c r="K9" s="55"/>
      <c r="L9" s="55"/>
      <c r="M9" s="9"/>
      <c r="N9" s="9"/>
      <c r="O9" s="9"/>
      <c r="P9" s="24"/>
    </row>
    <row r="10" ht="15.75">
      <c r="P10" s="24"/>
    </row>
    <row r="11" spans="12:16" ht="15" customHeight="1" thickBot="1">
      <c r="L11" s="56" t="s">
        <v>137</v>
      </c>
      <c r="M11" s="56"/>
      <c r="N11" s="56"/>
      <c r="O11" s="56"/>
      <c r="P11" s="24"/>
    </row>
    <row r="12" spans="1:16" ht="14.45" customHeight="1">
      <c r="A12" s="57" t="s">
        <v>1</v>
      </c>
      <c r="B12" s="59" t="s">
        <v>2</v>
      </c>
      <c r="C12" s="59" t="s">
        <v>3</v>
      </c>
      <c r="D12" s="59" t="s">
        <v>4</v>
      </c>
      <c r="E12" s="59"/>
      <c r="F12" s="59"/>
      <c r="G12" s="61" t="s">
        <v>138</v>
      </c>
      <c r="H12" s="61"/>
      <c r="I12" s="61"/>
      <c r="J12" s="61"/>
      <c r="K12" s="61"/>
      <c r="L12" s="61"/>
      <c r="M12" s="61"/>
      <c r="N12" s="63" t="s">
        <v>126</v>
      </c>
      <c r="O12" s="64"/>
      <c r="P12" s="24"/>
    </row>
    <row r="13" spans="1:17" s="8" customFormat="1" ht="15.75" customHeight="1">
      <c r="A13" s="58"/>
      <c r="B13" s="60"/>
      <c r="C13" s="60"/>
      <c r="D13" s="60"/>
      <c r="E13" s="60"/>
      <c r="F13" s="60"/>
      <c r="G13" s="62"/>
      <c r="H13" s="62"/>
      <c r="I13" s="62"/>
      <c r="J13" s="62"/>
      <c r="K13" s="62"/>
      <c r="L13" s="62"/>
      <c r="M13" s="62"/>
      <c r="N13" s="65"/>
      <c r="O13" s="66"/>
      <c r="P13" s="35"/>
      <c r="Q13" s="10"/>
    </row>
    <row r="14" spans="1:17" s="8" customFormat="1" ht="33.75" customHeight="1">
      <c r="A14" s="58"/>
      <c r="B14" s="60"/>
      <c r="C14" s="60"/>
      <c r="D14" s="60"/>
      <c r="E14" s="60"/>
      <c r="F14" s="60"/>
      <c r="G14" s="45" t="s">
        <v>5</v>
      </c>
      <c r="H14" s="46"/>
      <c r="I14" s="47"/>
      <c r="J14" s="45" t="s">
        <v>128</v>
      </c>
      <c r="K14" s="46"/>
      <c r="L14" s="47"/>
      <c r="M14" s="43" t="s">
        <v>6</v>
      </c>
      <c r="N14" s="48" t="s">
        <v>7</v>
      </c>
      <c r="O14" s="50" t="s">
        <v>8</v>
      </c>
      <c r="P14" s="35"/>
      <c r="Q14" s="10"/>
    </row>
    <row r="15" spans="1:17" s="8" customFormat="1" ht="55.9" customHeight="1">
      <c r="A15" s="58"/>
      <c r="B15" s="60"/>
      <c r="C15" s="60"/>
      <c r="D15" s="30" t="s">
        <v>9</v>
      </c>
      <c r="E15" s="30" t="s">
        <v>10</v>
      </c>
      <c r="F15" s="30" t="s">
        <v>11</v>
      </c>
      <c r="G15" s="28" t="s">
        <v>129</v>
      </c>
      <c r="H15" s="11" t="s">
        <v>125</v>
      </c>
      <c r="I15" s="28" t="s">
        <v>127</v>
      </c>
      <c r="J15" s="28" t="s">
        <v>129</v>
      </c>
      <c r="K15" s="28" t="s">
        <v>125</v>
      </c>
      <c r="L15" s="28" t="s">
        <v>127</v>
      </c>
      <c r="M15" s="44"/>
      <c r="N15" s="49"/>
      <c r="O15" s="51"/>
      <c r="P15" s="35"/>
      <c r="Q15" s="10"/>
    </row>
    <row r="16" spans="1:16" ht="15">
      <c r="A16" s="12">
        <v>1</v>
      </c>
      <c r="B16" s="13" t="s">
        <v>19</v>
      </c>
      <c r="C16" s="14" t="s">
        <v>20</v>
      </c>
      <c r="D16" s="15" t="s">
        <v>14</v>
      </c>
      <c r="E16" s="16" t="s">
        <v>14</v>
      </c>
      <c r="F16" s="16" t="s">
        <v>14</v>
      </c>
      <c r="G16" s="17">
        <f>VLOOKUP(B16,'[1]Brokers'!$B$9:$H$69,7,0)</f>
        <v>171798260109.64</v>
      </c>
      <c r="H16" s="17"/>
      <c r="I16" s="40">
        <f>VLOOKUP(B16,'[1]Brokers'!$B$9:$R$69,17,0)</f>
        <v>0</v>
      </c>
      <c r="J16" s="17">
        <f>VLOOKUP(B16,'[1]Brokers'!$B$9:$M$69,12,0)</f>
        <v>0</v>
      </c>
      <c r="K16" s="17">
        <v>0</v>
      </c>
      <c r="L16" s="17">
        <v>0</v>
      </c>
      <c r="M16" s="18">
        <f aca="true" t="shared" si="0" ref="M16:M74">L16+I16+J16+H16+G16</f>
        <v>171798260109.64</v>
      </c>
      <c r="N16" s="31">
        <f>(VLOOKUP(B16,'[2]Sheet1'!$B$17:$N$77,13,0))+171798260109.64</f>
        <v>194959607637.82</v>
      </c>
      <c r="O16" s="34">
        <f aca="true" t="shared" si="1" ref="O16:O47">N16/$N$75</f>
        <v>0.3992847887439322</v>
      </c>
      <c r="P16" s="36"/>
    </row>
    <row r="17" spans="1:16" ht="15">
      <c r="A17" s="12">
        <v>2</v>
      </c>
      <c r="B17" s="13" t="s">
        <v>25</v>
      </c>
      <c r="C17" s="14" t="s">
        <v>26</v>
      </c>
      <c r="D17" s="15" t="s">
        <v>14</v>
      </c>
      <c r="E17" s="16" t="s">
        <v>14</v>
      </c>
      <c r="F17" s="16"/>
      <c r="G17" s="17">
        <f>VLOOKUP(B17,'[1]Brokers'!$B$9:$H$69,7,0)</f>
        <v>62185420767.72</v>
      </c>
      <c r="H17" s="17">
        <f>VLOOKUP(B17,'[3]Brokers'!$B$9:$W$69,22,0)</f>
        <v>0</v>
      </c>
      <c r="I17" s="40">
        <f>VLOOKUP(B17,'[1]Brokers'!$B$9:$R$69,17,0)</f>
        <v>0</v>
      </c>
      <c r="J17" s="17">
        <f>VLOOKUP(B17,'[1]Brokers'!$B$9:$M$69,12,0)</f>
        <v>0</v>
      </c>
      <c r="K17" s="17">
        <v>0</v>
      </c>
      <c r="L17" s="17">
        <v>0</v>
      </c>
      <c r="M17" s="18">
        <f t="shared" si="0"/>
        <v>62185420767.72</v>
      </c>
      <c r="N17" s="31">
        <f>(VLOOKUP(B17,'[2]Sheet1'!$B$17:$N$77,13,0))+62185420767.72</f>
        <v>71583559504.49</v>
      </c>
      <c r="O17" s="34">
        <f t="shared" si="1"/>
        <v>0.14660588816626421</v>
      </c>
      <c r="P17" s="36"/>
    </row>
    <row r="18" spans="1:16" ht="15">
      <c r="A18" s="12">
        <v>3</v>
      </c>
      <c r="B18" s="13" t="s">
        <v>21</v>
      </c>
      <c r="C18" s="14" t="s">
        <v>22</v>
      </c>
      <c r="D18" s="15" t="s">
        <v>14</v>
      </c>
      <c r="E18" s="16" t="s">
        <v>14</v>
      </c>
      <c r="F18" s="16" t="s">
        <v>14</v>
      </c>
      <c r="G18" s="17">
        <f>VLOOKUP(B18,'[1]Brokers'!$B$9:$H$69,7,0)</f>
        <v>1748438747</v>
      </c>
      <c r="H18" s="17">
        <f>'[4]Brokers'!$U$13+'[4]Brokers'!$S$13</f>
        <v>1673938280</v>
      </c>
      <c r="I18" s="40">
        <f>VLOOKUP(B18,'[1]Brokers'!$B$9:$R$69,17,0)</f>
        <v>0</v>
      </c>
      <c r="J18" s="17">
        <f>VLOOKUP(B18,'[1]Brokers'!$B$9:$M$69,12,0)</f>
        <v>0</v>
      </c>
      <c r="K18" s="17">
        <v>0</v>
      </c>
      <c r="L18" s="17">
        <v>0</v>
      </c>
      <c r="M18" s="18">
        <f t="shared" si="0"/>
        <v>3422377027</v>
      </c>
      <c r="N18" s="31">
        <f>(VLOOKUP(B18,'[2]Sheet1'!$B$17:$N$77,13,0))+3422377027</f>
        <v>58233086525.079994</v>
      </c>
      <c r="O18" s="34">
        <f t="shared" si="1"/>
        <v>0.1192636050759221</v>
      </c>
      <c r="P18" s="36"/>
    </row>
    <row r="19" spans="1:16" ht="15">
      <c r="A19" s="12">
        <v>4</v>
      </c>
      <c r="B19" s="13" t="s">
        <v>12</v>
      </c>
      <c r="C19" s="14" t="s">
        <v>13</v>
      </c>
      <c r="D19" s="15" t="s">
        <v>14</v>
      </c>
      <c r="E19" s="16" t="s">
        <v>14</v>
      </c>
      <c r="F19" s="16" t="s">
        <v>14</v>
      </c>
      <c r="G19" s="17">
        <f>VLOOKUP(B19,'[1]Brokers'!$B$9:$H$69,7,0)</f>
        <v>2188672593.7200003</v>
      </c>
      <c r="H19" s="17">
        <f>VLOOKUP(B19,'[3]Brokers'!$B$9:$W$69,22,0)</f>
        <v>0</v>
      </c>
      <c r="I19" s="40">
        <f>VLOOKUP(B19,'[1]Brokers'!$B$9:$R$69,17,0)</f>
        <v>0</v>
      </c>
      <c r="J19" s="17">
        <f>VLOOKUP(B19,'[1]Brokers'!$B$9:$M$69,12,0)</f>
        <v>0</v>
      </c>
      <c r="K19" s="17">
        <v>0</v>
      </c>
      <c r="L19" s="17">
        <v>0</v>
      </c>
      <c r="M19" s="18">
        <f t="shared" si="0"/>
        <v>2188672593.7200003</v>
      </c>
      <c r="N19" s="31">
        <f>(VLOOKUP(B19,'[2]Sheet1'!$B$17:$N$77,13,0))+2188672593.72</f>
        <v>39510233867.5</v>
      </c>
      <c r="O19" s="34">
        <f t="shared" si="1"/>
        <v>0.08091848139290035</v>
      </c>
      <c r="P19" s="36"/>
    </row>
    <row r="20" spans="1:16" ht="15">
      <c r="A20" s="12">
        <v>5</v>
      </c>
      <c r="B20" s="13" t="s">
        <v>15</v>
      </c>
      <c r="C20" s="14" t="s">
        <v>16</v>
      </c>
      <c r="D20" s="15" t="s">
        <v>14</v>
      </c>
      <c r="E20" s="16"/>
      <c r="F20" s="16" t="s">
        <v>14</v>
      </c>
      <c r="G20" s="17">
        <f>VLOOKUP(B20,'[1]Brokers'!$B$9:$H$69,7,0)</f>
        <v>185586619.71</v>
      </c>
      <c r="H20" s="17">
        <f>'[4]Brokers'!$S$15+'[4]Brokers'!$U$15</f>
        <v>99800000</v>
      </c>
      <c r="I20" s="40">
        <f>VLOOKUP(B20,'[1]Brokers'!$B$9:$R$69,17,0)</f>
        <v>0</v>
      </c>
      <c r="J20" s="17">
        <f>VLOOKUP(B20,'[1]Brokers'!$B$9:$M$69,12,0)</f>
        <v>0</v>
      </c>
      <c r="K20" s="17">
        <v>0</v>
      </c>
      <c r="L20" s="17">
        <v>0</v>
      </c>
      <c r="M20" s="18">
        <f t="shared" si="0"/>
        <v>285386619.71000004</v>
      </c>
      <c r="N20" s="31">
        <f>(VLOOKUP(B20,'[2]Sheet1'!$B$17:$N$77,13,0))+285386619.71</f>
        <v>28210906684.81</v>
      </c>
      <c r="O20" s="34">
        <f t="shared" si="1"/>
        <v>0.057777023930232915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VLOOKUP(B21,'[1]Brokers'!$B$9:$H$69,7,0)</f>
        <v>209703465.78</v>
      </c>
      <c r="H21" s="17">
        <v>1500000</v>
      </c>
      <c r="I21" s="40">
        <f>VLOOKUP(B21,'[1]Brokers'!$B$9:$R$69,17,0)</f>
        <v>0</v>
      </c>
      <c r="J21" s="17">
        <f>VLOOKUP(B21,'[1]Brokers'!$B$9:$M$69,12,0)</f>
        <v>0</v>
      </c>
      <c r="K21" s="17">
        <v>0</v>
      </c>
      <c r="L21" s="17">
        <v>0</v>
      </c>
      <c r="M21" s="18">
        <f t="shared" si="0"/>
        <v>211203465.78</v>
      </c>
      <c r="N21" s="31">
        <f>(VLOOKUP(B21,'[2]Sheet1'!$B$17:$N$77,13,0))+211203465.78</f>
        <v>18952097539.28</v>
      </c>
      <c r="O21" s="34">
        <f t="shared" si="1"/>
        <v>0.03881462603414597</v>
      </c>
      <c r="P21" s="36"/>
      <c r="Q21" s="10"/>
    </row>
    <row r="22" spans="1:16" ht="15">
      <c r="A22" s="12">
        <v>7</v>
      </c>
      <c r="B22" s="13" t="s">
        <v>41</v>
      </c>
      <c r="C22" s="14" t="s">
        <v>42</v>
      </c>
      <c r="D22" s="15" t="s">
        <v>14</v>
      </c>
      <c r="E22" s="15" t="s">
        <v>14</v>
      </c>
      <c r="F22" s="16" t="s">
        <v>14</v>
      </c>
      <c r="G22" s="17">
        <f>VLOOKUP(B22,'[1]Brokers'!$B$9:$H$69,7,0)</f>
        <v>2100182209.88</v>
      </c>
      <c r="H22" s="17">
        <f>VLOOKUP(B22,'[3]Brokers'!$B$9:$W$69,22,0)</f>
        <v>0</v>
      </c>
      <c r="I22" s="40">
        <f>VLOOKUP(B22,'[1]Brokers'!$B$9:$R$69,17,0)</f>
        <v>0</v>
      </c>
      <c r="J22" s="17">
        <f>VLOOKUP(B22,'[1]Brokers'!$B$9:$M$69,12,0)</f>
        <v>0</v>
      </c>
      <c r="K22" s="17">
        <v>0</v>
      </c>
      <c r="L22" s="17">
        <v>0</v>
      </c>
      <c r="M22" s="18">
        <f t="shared" si="0"/>
        <v>2100182209.88</v>
      </c>
      <c r="N22" s="31">
        <f>(VLOOKUP(B22,'[2]Sheet1'!$B$17:$N$77,13,0))+2100182209.88</f>
        <v>24578030927.960003</v>
      </c>
      <c r="O22" s="34">
        <f t="shared" si="1"/>
        <v>0.05033675439603524</v>
      </c>
      <c r="P22" s="36"/>
    </row>
    <row r="23" spans="1:16" ht="15">
      <c r="A23" s="12">
        <v>8</v>
      </c>
      <c r="B23" s="13" t="s">
        <v>29</v>
      </c>
      <c r="C23" s="14" t="s">
        <v>30</v>
      </c>
      <c r="D23" s="15" t="s">
        <v>14</v>
      </c>
      <c r="E23" s="16" t="s">
        <v>14</v>
      </c>
      <c r="F23" s="16" t="s">
        <v>14</v>
      </c>
      <c r="G23" s="17">
        <f>VLOOKUP(B23,'[1]Brokers'!$B$9:$H$69,7,0)</f>
        <v>1879056816.04</v>
      </c>
      <c r="H23" s="17">
        <f>VLOOKUP(B23,'[3]Brokers'!$B$9:$W$69,22,0)</f>
        <v>0</v>
      </c>
      <c r="I23" s="40">
        <f>VLOOKUP(B23,'[1]Brokers'!$B$9:$R$69,17,0)</f>
        <v>0</v>
      </c>
      <c r="J23" s="17">
        <f>VLOOKUP(B23,'[1]Brokers'!$B$9:$M$69,12,0)</f>
        <v>0</v>
      </c>
      <c r="K23" s="17">
        <v>0</v>
      </c>
      <c r="L23" s="17">
        <v>0</v>
      </c>
      <c r="M23" s="18">
        <f t="shared" si="0"/>
        <v>1879056816.04</v>
      </c>
      <c r="N23" s="31">
        <f>(VLOOKUP(B23,'[2]Sheet1'!$B$17:$N$77,13,0))+1879056816.04</f>
        <v>11039788339.080002</v>
      </c>
      <c r="O23" s="34">
        <f t="shared" si="1"/>
        <v>0.02260991191024626</v>
      </c>
      <c r="P23" s="36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VLOOKUP(B24,'[1]Brokers'!$B$9:$H$69,7,0)</f>
        <v>424349045.17</v>
      </c>
      <c r="H24" s="17">
        <f>'[4]Brokers'!$U$19+'[4]Brokers'!$S$19</f>
        <v>6120000</v>
      </c>
      <c r="I24" s="40">
        <f>VLOOKUP(B24,'[1]Brokers'!$B$9:$R$69,17,0)</f>
        <v>0</v>
      </c>
      <c r="J24" s="17">
        <f>VLOOKUP(B24,'[1]Brokers'!$B$9:$M$69,12,0)</f>
        <v>0</v>
      </c>
      <c r="K24" s="17">
        <v>0</v>
      </c>
      <c r="L24" s="17">
        <v>0</v>
      </c>
      <c r="M24" s="18">
        <f t="shared" si="0"/>
        <v>430469045.17</v>
      </c>
      <c r="N24" s="31">
        <f>(VLOOKUP(B24,'[2]Sheet1'!$B$17:$N$77,13,0))+430469045.17</f>
        <v>9131544217.880001</v>
      </c>
      <c r="O24" s="34">
        <f t="shared" si="1"/>
        <v>0.018701754420410475</v>
      </c>
      <c r="P24" s="36"/>
    </row>
    <row r="25" spans="1:17" ht="15">
      <c r="A25" s="12">
        <v>10</v>
      </c>
      <c r="B25" s="13" t="s">
        <v>45</v>
      </c>
      <c r="C25" s="14" t="s">
        <v>46</v>
      </c>
      <c r="D25" s="15" t="s">
        <v>14</v>
      </c>
      <c r="E25" s="16"/>
      <c r="F25" s="16"/>
      <c r="G25" s="17">
        <f>VLOOKUP(B25,'[1]Brokers'!$B$9:$H$69,7,0)</f>
        <v>2350261</v>
      </c>
      <c r="H25" s="17">
        <f>VLOOKUP(B25,'[3]Brokers'!$B$9:$W$69,22,0)</f>
        <v>0</v>
      </c>
      <c r="I25" s="40">
        <f>VLOOKUP(B25,'[1]Brokers'!$B$9:$R$69,17,0)</f>
        <v>0</v>
      </c>
      <c r="J25" s="17">
        <f>VLOOKUP(B25,'[1]Brokers'!$B$9:$M$69,12,0)</f>
        <v>0</v>
      </c>
      <c r="K25" s="17">
        <v>0</v>
      </c>
      <c r="L25" s="17">
        <v>0</v>
      </c>
      <c r="M25" s="18">
        <f t="shared" si="0"/>
        <v>2350261</v>
      </c>
      <c r="N25" s="31">
        <f>(VLOOKUP(B25,'[2]Sheet1'!$B$17:$N$77,13,0))+2350261</f>
        <v>7886624098.64</v>
      </c>
      <c r="O25" s="34">
        <f t="shared" si="1"/>
        <v>0.016152110046190944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VLOOKUP(B26,'[1]Brokers'!$B$9:$H$69,7,0)</f>
        <v>1878489060.3000002</v>
      </c>
      <c r="H26" s="17">
        <f>VLOOKUP(B26,'[3]Brokers'!$B$9:$W$69,22,0)</f>
        <v>0</v>
      </c>
      <c r="I26" s="40">
        <f>VLOOKUP(B26,'[1]Brokers'!$B$9:$R$69,17,0)</f>
        <v>0</v>
      </c>
      <c r="J26" s="17">
        <f>VLOOKUP(B26,'[1]Brokers'!$B$9:$M$69,12,0)</f>
        <v>0</v>
      </c>
      <c r="K26" s="17">
        <v>0</v>
      </c>
      <c r="L26" s="17">
        <v>0</v>
      </c>
      <c r="M26" s="18">
        <f t="shared" si="0"/>
        <v>1878489060.3000002</v>
      </c>
      <c r="N26" s="31">
        <f>(VLOOKUP(B26,'[2]Sheet1'!$B$17:$N$77,13,0))+1878489060.3</f>
        <v>8402342082.440001</v>
      </c>
      <c r="O26" s="34">
        <f t="shared" si="1"/>
        <v>0.017208320348971035</v>
      </c>
      <c r="P26" s="36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VLOOKUP(B27,'[1]Brokers'!$B$9:$H$69,7,0)</f>
        <v>24174792</v>
      </c>
      <c r="H27" s="17">
        <f>VLOOKUP(B27,'[3]Brokers'!$B$9:$W$69,22,0)</f>
        <v>0</v>
      </c>
      <c r="I27" s="40">
        <f>VLOOKUP(B27,'[1]Brokers'!$B$9:$R$69,17,0)</f>
        <v>0</v>
      </c>
      <c r="J27" s="17">
        <f>VLOOKUP(B27,'[1]Brokers'!$B$9:$M$69,12,0)</f>
        <v>0</v>
      </c>
      <c r="K27" s="17">
        <v>0</v>
      </c>
      <c r="L27" s="17">
        <v>0</v>
      </c>
      <c r="M27" s="18">
        <f t="shared" si="0"/>
        <v>24174792</v>
      </c>
      <c r="N27" s="31">
        <f>(VLOOKUP(B27,'[2]Sheet1'!$B$17:$N$77,13,0))+24174792</f>
        <v>1431965027.55</v>
      </c>
      <c r="O27" s="34">
        <f t="shared" si="1"/>
        <v>0.0029327195537660966</v>
      </c>
      <c r="P27" s="36"/>
    </row>
    <row r="28" spans="1:16" ht="15">
      <c r="A28" s="12">
        <v>13</v>
      </c>
      <c r="B28" s="13" t="s">
        <v>79</v>
      </c>
      <c r="C28" s="14" t="s">
        <v>132</v>
      </c>
      <c r="D28" s="15" t="s">
        <v>14</v>
      </c>
      <c r="E28" s="16"/>
      <c r="F28" s="16"/>
      <c r="G28" s="17">
        <f>VLOOKUP(B28,'[1]Brokers'!$B$9:$H$69,7,0)</f>
        <v>222458343.05</v>
      </c>
      <c r="H28" s="17">
        <f>VLOOKUP(B28,'[3]Brokers'!$B$9:$W$69,22,0)</f>
        <v>0</v>
      </c>
      <c r="I28" s="40">
        <f>VLOOKUP(B28,'[1]Brokers'!$B$9:$R$69,17,0)</f>
        <v>0</v>
      </c>
      <c r="J28" s="17">
        <f>VLOOKUP(B28,'[1]Brokers'!$B$9:$M$69,12,0)</f>
        <v>0</v>
      </c>
      <c r="K28" s="17">
        <v>0</v>
      </c>
      <c r="L28" s="17">
        <v>0</v>
      </c>
      <c r="M28" s="18">
        <f t="shared" si="0"/>
        <v>222458343.05</v>
      </c>
      <c r="N28" s="31">
        <f>(VLOOKUP(B28,'[2]Sheet1'!$B$17:$N$77,13,0))+222458343.05</f>
        <v>1892634318.25</v>
      </c>
      <c r="O28" s="34">
        <f t="shared" si="1"/>
        <v>0.0038761880119078055</v>
      </c>
      <c r="P28" s="36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VLOOKUP(B29,'[1]Brokers'!$B$9:$H$69,7,0)</f>
        <v>74778289.4</v>
      </c>
      <c r="H29" s="17">
        <f>VLOOKUP(B29,'[3]Brokers'!$B$9:$W$69,22,0)</f>
        <v>0</v>
      </c>
      <c r="I29" s="40">
        <f>VLOOKUP(B29,'[1]Brokers'!$B$9:$R$69,17,0)</f>
        <v>0</v>
      </c>
      <c r="J29" s="17">
        <f>VLOOKUP(B29,'[1]Brokers'!$B$9:$M$69,12,0)</f>
        <v>0</v>
      </c>
      <c r="K29" s="17">
        <v>0</v>
      </c>
      <c r="L29" s="17">
        <v>0</v>
      </c>
      <c r="M29" s="18">
        <f t="shared" si="0"/>
        <v>74778289.4</v>
      </c>
      <c r="N29" s="31">
        <f>(VLOOKUP(B29,'[2]Sheet1'!$B$17:$N$77,13,0))+74778289.4</f>
        <v>1623980205.54</v>
      </c>
      <c r="O29" s="34">
        <f t="shared" si="1"/>
        <v>0.003325974037134747</v>
      </c>
      <c r="P29" s="36"/>
    </row>
    <row r="30" spans="1:16" ht="15">
      <c r="A30" s="12">
        <v>15</v>
      </c>
      <c r="B30" s="13" t="s">
        <v>106</v>
      </c>
      <c r="C30" s="14" t="s">
        <v>107</v>
      </c>
      <c r="D30" s="15" t="s">
        <v>14</v>
      </c>
      <c r="E30" s="16"/>
      <c r="F30" s="16"/>
      <c r="G30" s="17">
        <f>VLOOKUP(B30,'[1]Brokers'!$B$9:$H$69,7,0)</f>
        <v>44530489</v>
      </c>
      <c r="H30" s="17">
        <f>VLOOKUP(B30,'[3]Brokers'!$B$9:$W$69,22,0)</f>
        <v>0</v>
      </c>
      <c r="I30" s="40">
        <f>VLOOKUP(B30,'[1]Brokers'!$B$9:$R$69,17,0)</f>
        <v>0</v>
      </c>
      <c r="J30" s="17">
        <f>VLOOKUP(B30,'[1]Brokers'!$B$9:$M$69,12,0)</f>
        <v>0</v>
      </c>
      <c r="K30" s="17">
        <v>0</v>
      </c>
      <c r="L30" s="17">
        <v>0</v>
      </c>
      <c r="M30" s="18">
        <f t="shared" si="0"/>
        <v>44530489</v>
      </c>
      <c r="N30" s="31">
        <f>(VLOOKUP(B30,'[2]Sheet1'!$B$17:$N$77,13,0))+44530489</f>
        <v>1015499589.01</v>
      </c>
      <c r="O30" s="34">
        <f t="shared" si="1"/>
        <v>0.002079782288137671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VLOOKUP(B31,'[1]Brokers'!$B$9:$H$69,7,0)</f>
        <v>45613245</v>
      </c>
      <c r="H31" s="17">
        <f>VLOOKUP(B31,'[3]Brokers'!$B$9:$W$69,22,0)</f>
        <v>0</v>
      </c>
      <c r="I31" s="40">
        <f>VLOOKUP(B31,'[1]Brokers'!$B$9:$R$69,17,0)</f>
        <v>0</v>
      </c>
      <c r="J31" s="17">
        <f>VLOOKUP(B31,'[1]Brokers'!$B$9:$M$69,12,0)</f>
        <v>0</v>
      </c>
      <c r="K31" s="17">
        <v>0</v>
      </c>
      <c r="L31" s="17">
        <v>0</v>
      </c>
      <c r="M31" s="18">
        <f t="shared" si="0"/>
        <v>45613245</v>
      </c>
      <c r="N31" s="31">
        <f>(VLOOKUP(B31,'[2]Sheet1'!$B$17:$N$77,13,0))+45613245</f>
        <v>1026308994.9300001</v>
      </c>
      <c r="O31" s="34">
        <f t="shared" si="1"/>
        <v>0.0021019203679764065</v>
      </c>
      <c r="P31" s="36"/>
    </row>
    <row r="32" spans="1:16" ht="15">
      <c r="A32" s="12">
        <v>17</v>
      </c>
      <c r="B32" s="13" t="s">
        <v>82</v>
      </c>
      <c r="C32" s="14" t="s">
        <v>83</v>
      </c>
      <c r="D32" s="15" t="s">
        <v>14</v>
      </c>
      <c r="E32" s="16"/>
      <c r="F32" s="16"/>
      <c r="G32" s="17">
        <f>VLOOKUP(B32,'[1]Brokers'!$B$9:$H$69,7,0)</f>
        <v>31655323</v>
      </c>
      <c r="H32" s="17">
        <f>VLOOKUP(B32,'[3]Brokers'!$B$9:$W$69,22,0)</f>
        <v>0</v>
      </c>
      <c r="I32" s="40">
        <f>VLOOKUP(B32,'[1]Brokers'!$B$9:$R$69,17,0)</f>
        <v>0</v>
      </c>
      <c r="J32" s="17">
        <f>VLOOKUP(B32,'[1]Brokers'!$B$9:$M$69,12,0)</f>
        <v>0</v>
      </c>
      <c r="K32" s="17">
        <v>0</v>
      </c>
      <c r="L32" s="17">
        <v>0</v>
      </c>
      <c r="M32" s="18">
        <f t="shared" si="0"/>
        <v>31655323</v>
      </c>
      <c r="N32" s="31">
        <f>(VLOOKUP(B32,'[2]Sheet1'!$B$17:$N$77,13,0))+31655323</f>
        <v>879114025.3399999</v>
      </c>
      <c r="O32" s="34">
        <f t="shared" si="1"/>
        <v>0.0018004593984503707</v>
      </c>
      <c r="P32" s="36"/>
    </row>
    <row r="33" spans="1:16" ht="15">
      <c r="A33" s="12">
        <v>18</v>
      </c>
      <c r="B33" s="13" t="s">
        <v>59</v>
      </c>
      <c r="C33" s="14" t="s">
        <v>60</v>
      </c>
      <c r="D33" s="15" t="s">
        <v>14</v>
      </c>
      <c r="E33" s="16"/>
      <c r="F33" s="16"/>
      <c r="G33" s="17">
        <f>VLOOKUP(B33,'[1]Brokers'!$B$9:$H$69,7,0)</f>
        <v>143595180.20999998</v>
      </c>
      <c r="H33" s="17">
        <f>VLOOKUP(B33,'[3]Brokers'!$B$9:$W$69,22,0)</f>
        <v>0</v>
      </c>
      <c r="I33" s="40">
        <f>VLOOKUP(B33,'[1]Brokers'!$B$9:$R$69,17,0)</f>
        <v>0</v>
      </c>
      <c r="J33" s="17">
        <f>VLOOKUP(B33,'[1]Brokers'!$B$9:$M$69,12,0)</f>
        <v>0</v>
      </c>
      <c r="K33" s="17">
        <v>0</v>
      </c>
      <c r="L33" s="17">
        <v>0</v>
      </c>
      <c r="M33" s="18">
        <f t="shared" si="0"/>
        <v>143595180.20999998</v>
      </c>
      <c r="N33" s="31">
        <f>(VLOOKUP(B33,'[2]Sheet1'!$B$17:$N$77,13,0))+143595180.21</f>
        <v>793885096.9299998</v>
      </c>
      <c r="O33" s="34">
        <f t="shared" si="1"/>
        <v>0.001625907268974003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VLOOKUP(B34,'[1]Brokers'!$B$9:$H$69,7,0)</f>
        <v>40903602</v>
      </c>
      <c r="H34" s="17">
        <f>VLOOKUP(B34,'[3]Brokers'!$B$9:$W$69,22,0)</f>
        <v>0</v>
      </c>
      <c r="I34" s="40">
        <f>VLOOKUP(B34,'[1]Brokers'!$B$9:$R$69,17,0)</f>
        <v>0</v>
      </c>
      <c r="J34" s="17">
        <f>VLOOKUP(B34,'[1]Brokers'!$B$9:$M$69,12,0)</f>
        <v>0</v>
      </c>
      <c r="K34" s="17">
        <v>0</v>
      </c>
      <c r="L34" s="17">
        <v>0</v>
      </c>
      <c r="M34" s="18">
        <f t="shared" si="0"/>
        <v>40903602</v>
      </c>
      <c r="N34" s="31">
        <f>(VLOOKUP(B34,'[2]Sheet1'!$B$17:$N$77,13,0))+40903602</f>
        <v>761260269.72</v>
      </c>
      <c r="O34" s="34">
        <f t="shared" si="1"/>
        <v>0.0015590903657283226</v>
      </c>
      <c r="P34" s="36"/>
    </row>
    <row r="35" spans="1:16" ht="15">
      <c r="A35" s="12">
        <v>20</v>
      </c>
      <c r="B35" s="13" t="s">
        <v>61</v>
      </c>
      <c r="C35" s="14" t="s">
        <v>62</v>
      </c>
      <c r="D35" s="15" t="s">
        <v>14</v>
      </c>
      <c r="E35" s="16" t="s">
        <v>14</v>
      </c>
      <c r="F35" s="16" t="s">
        <v>14</v>
      </c>
      <c r="G35" s="17">
        <f>VLOOKUP(B35,'[1]Brokers'!$B$9:$H$69,7,0)</f>
        <v>133800</v>
      </c>
      <c r="H35" s="17">
        <f>VLOOKUP(B35,'[3]Brokers'!$B$9:$W$69,22,0)</f>
        <v>0</v>
      </c>
      <c r="I35" s="40">
        <f>VLOOKUP(B35,'[1]Brokers'!$B$9:$R$69,17,0)</f>
        <v>0</v>
      </c>
      <c r="J35" s="17">
        <f>VLOOKUP(B35,'[1]Brokers'!$B$9:$M$69,12,0)</f>
        <v>0</v>
      </c>
      <c r="K35" s="17">
        <v>0</v>
      </c>
      <c r="L35" s="17">
        <v>0</v>
      </c>
      <c r="M35" s="18">
        <f t="shared" si="0"/>
        <v>133800</v>
      </c>
      <c r="N35" s="31">
        <f>(VLOOKUP(B35,'[2]Sheet1'!$B$17:$N$77,13,0))+133800</f>
        <v>660441910.47</v>
      </c>
      <c r="O35" s="34">
        <f t="shared" si="1"/>
        <v>0.0013526104811902443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VLOOKUP(B36,'[1]Brokers'!$B$9:$H$69,7,0)</f>
        <v>46142519</v>
      </c>
      <c r="H36" s="17">
        <f>VLOOKUP(B36,'[3]Brokers'!$B$9:$W$69,22,0)</f>
        <v>0</v>
      </c>
      <c r="I36" s="40">
        <f>VLOOKUP(B36,'[1]Brokers'!$B$9:$R$69,17,0)</f>
        <v>0</v>
      </c>
      <c r="J36" s="17">
        <f>VLOOKUP(B36,'[1]Brokers'!$B$9:$M$69,12,0)</f>
        <v>0</v>
      </c>
      <c r="K36" s="17">
        <v>0</v>
      </c>
      <c r="L36" s="17">
        <v>0</v>
      </c>
      <c r="M36" s="18">
        <f t="shared" si="0"/>
        <v>46142519</v>
      </c>
      <c r="N36" s="31">
        <f>(VLOOKUP(B36,'[2]Sheet1'!$B$17:$N$77,13,0))+46142519</f>
        <v>549277614.3100001</v>
      </c>
      <c r="O36" s="34">
        <f t="shared" si="1"/>
        <v>0.001124941719204579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VLOOKUP(B37,'[1]Brokers'!$B$9:$H$69,7,0)</f>
        <v>43969468.28</v>
      </c>
      <c r="H37" s="17">
        <f>VLOOKUP(B37,'[3]Brokers'!$B$9:$W$69,22,0)</f>
        <v>0</v>
      </c>
      <c r="I37" s="40">
        <f>VLOOKUP(B37,'[1]Brokers'!$B$9:$R$69,17,0)</f>
        <v>0</v>
      </c>
      <c r="J37" s="17">
        <f>VLOOKUP(B37,'[1]Brokers'!$B$9:$M$69,12,0)</f>
        <v>0</v>
      </c>
      <c r="K37" s="17">
        <v>0</v>
      </c>
      <c r="L37" s="17">
        <v>0</v>
      </c>
      <c r="M37" s="18">
        <f t="shared" si="0"/>
        <v>43969468.28</v>
      </c>
      <c r="N37" s="31">
        <f>(VLOOKUP(B37,'[2]Sheet1'!$B$17:$N$77,13,0))+43969468.28</f>
        <v>640455423.74</v>
      </c>
      <c r="O37" s="34">
        <f t="shared" si="1"/>
        <v>0.001311677386235793</v>
      </c>
      <c r="P37" s="36"/>
    </row>
    <row r="38" spans="1:16" ht="15">
      <c r="A38" s="12">
        <v>23</v>
      </c>
      <c r="B38" s="13" t="s">
        <v>118</v>
      </c>
      <c r="C38" s="14" t="s">
        <v>119</v>
      </c>
      <c r="D38" s="15" t="s">
        <v>14</v>
      </c>
      <c r="E38" s="16"/>
      <c r="F38" s="16"/>
      <c r="G38" s="17">
        <f>VLOOKUP(B38,'[1]Brokers'!$B$9:$H$69,7,0)</f>
        <v>36087404</v>
      </c>
      <c r="H38" s="17">
        <f>VLOOKUP(B38,'[3]Brokers'!$B$9:$W$69,22,0)</f>
        <v>0</v>
      </c>
      <c r="I38" s="40">
        <f>VLOOKUP(B38,'[1]Brokers'!$B$9:$R$69,17,0)</f>
        <v>0</v>
      </c>
      <c r="J38" s="17">
        <f>VLOOKUP(B38,'[1]Brokers'!$B$9:$M$69,12,0)</f>
        <v>0</v>
      </c>
      <c r="K38" s="17">
        <v>0</v>
      </c>
      <c r="L38" s="17">
        <v>0</v>
      </c>
      <c r="M38" s="18">
        <f t="shared" si="0"/>
        <v>36087404</v>
      </c>
      <c r="N38" s="31">
        <f>(VLOOKUP(B38,'[2]Sheet1'!$B$17:$N$77,13,0))+36087404</f>
        <v>538754964.16</v>
      </c>
      <c r="O38" s="34">
        <f t="shared" si="1"/>
        <v>0.0011033909262322505</v>
      </c>
      <c r="P38" s="36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VLOOKUP(B39,'[1]Brokers'!$B$9:$H$69,7,0)</f>
        <v>4893192</v>
      </c>
      <c r="H39" s="17">
        <f>VLOOKUP(B39,'[3]Brokers'!$B$9:$W$69,22,0)</f>
        <v>0</v>
      </c>
      <c r="I39" s="40">
        <f>VLOOKUP(B39,'[1]Brokers'!$B$9:$R$69,17,0)</f>
        <v>0</v>
      </c>
      <c r="J39" s="17">
        <f>VLOOKUP(B39,'[1]Brokers'!$B$9:$M$69,12,0)</f>
        <v>0</v>
      </c>
      <c r="K39" s="17">
        <v>0</v>
      </c>
      <c r="L39" s="17">
        <v>0</v>
      </c>
      <c r="M39" s="18">
        <f t="shared" si="0"/>
        <v>4893192</v>
      </c>
      <c r="N39" s="31">
        <f>(VLOOKUP(B39,'[2]Sheet1'!$B$17:$N$77,13,0))+4893192</f>
        <v>407160524.91999996</v>
      </c>
      <c r="O39" s="34">
        <f t="shared" si="1"/>
        <v>0.0008338804439920988</v>
      </c>
      <c r="P39" s="36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VLOOKUP(B40,'[1]Brokers'!$B$9:$H$69,7,0)</f>
        <v>3433500</v>
      </c>
      <c r="H40" s="17">
        <f>VLOOKUP(B40,'[3]Brokers'!$B$9:$W$69,22,0)</f>
        <v>0</v>
      </c>
      <c r="I40" s="40">
        <f>VLOOKUP(B40,'[1]Brokers'!$B$9:$R$69,17,0)</f>
        <v>0</v>
      </c>
      <c r="J40" s="17">
        <f>VLOOKUP(B40,'[1]Brokers'!$B$9:$M$69,12,0)</f>
        <v>0</v>
      </c>
      <c r="K40" s="17">
        <v>0</v>
      </c>
      <c r="L40" s="17">
        <v>0</v>
      </c>
      <c r="M40" s="18">
        <f t="shared" si="0"/>
        <v>3433500</v>
      </c>
      <c r="N40" s="31">
        <f>(VLOOKUP(B40,'[2]Sheet1'!$B$17:$N$77,13,0))+3433500</f>
        <v>375267763.88000005</v>
      </c>
      <c r="O40" s="34">
        <f t="shared" si="1"/>
        <v>0.0007685628404709951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VLOOKUP(B41,'[1]Brokers'!$B$9:$H$69,7,0)</f>
        <v>7201100</v>
      </c>
      <c r="H41" s="17">
        <f>VLOOKUP(B41,'[3]Brokers'!$B$9:$W$69,22,0)</f>
        <v>0</v>
      </c>
      <c r="I41" s="40">
        <f>VLOOKUP(B41,'[1]Brokers'!$B$9:$R$69,17,0)</f>
        <v>0</v>
      </c>
      <c r="J41" s="17">
        <f>VLOOKUP(B41,'[1]Brokers'!$B$9:$M$69,12,0)</f>
        <v>0</v>
      </c>
      <c r="K41" s="17">
        <v>0</v>
      </c>
      <c r="L41" s="17">
        <v>0</v>
      </c>
      <c r="M41" s="18">
        <f t="shared" si="0"/>
        <v>7201100</v>
      </c>
      <c r="N41" s="31">
        <f>(VLOOKUP(B41,'[2]Sheet1'!$B$17:$N$77,13,0))+7201100</f>
        <v>396198390.64000005</v>
      </c>
      <c r="O41" s="34">
        <f t="shared" si="1"/>
        <v>0.0008114295705870618</v>
      </c>
      <c r="P41" s="36"/>
    </row>
    <row r="42" spans="1:16" ht="1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VLOOKUP(B42,'[1]Brokers'!$B$9:$H$69,7,0)</f>
        <v>9695313.05</v>
      </c>
      <c r="H42" s="17">
        <f>VLOOKUP(B42,'[3]Brokers'!$B$9:$W$69,22,0)</f>
        <v>0</v>
      </c>
      <c r="I42" s="40">
        <f>VLOOKUP(B42,'[1]Brokers'!$B$9:$R$69,17,0)</f>
        <v>0</v>
      </c>
      <c r="J42" s="17">
        <f>VLOOKUP(B42,'[1]Brokers'!$B$9:$M$69,12,0)</f>
        <v>0</v>
      </c>
      <c r="K42" s="17">
        <v>0</v>
      </c>
      <c r="L42" s="17">
        <v>0</v>
      </c>
      <c r="M42" s="18">
        <f t="shared" si="0"/>
        <v>9695313.05</v>
      </c>
      <c r="N42" s="31">
        <f>(VLOOKUP(B42,'[2]Sheet1'!$B$17:$N$77,13,0))+9695313.05</f>
        <v>399628032.19</v>
      </c>
      <c r="O42" s="34">
        <f t="shared" si="1"/>
        <v>0.000818453608634487</v>
      </c>
      <c r="P42" s="36"/>
    </row>
    <row r="43" spans="1:16" ht="15">
      <c r="A43" s="12">
        <v>28</v>
      </c>
      <c r="B43" s="13" t="s">
        <v>73</v>
      </c>
      <c r="C43" s="14" t="s">
        <v>74</v>
      </c>
      <c r="D43" s="15" t="s">
        <v>14</v>
      </c>
      <c r="E43" s="16"/>
      <c r="F43" s="16"/>
      <c r="G43" s="17">
        <f>VLOOKUP(B43,'[1]Brokers'!$B$9:$H$69,7,0)</f>
        <v>8069651.95</v>
      </c>
      <c r="H43" s="17">
        <f>VLOOKUP(B43,'[3]Brokers'!$B$9:$W$69,22,0)</f>
        <v>0</v>
      </c>
      <c r="I43" s="40">
        <f>VLOOKUP(B43,'[1]Brokers'!$B$9:$R$69,17,0)</f>
        <v>0</v>
      </c>
      <c r="J43" s="17">
        <f>VLOOKUP(B43,'[1]Brokers'!$B$9:$M$69,12,0)</f>
        <v>0</v>
      </c>
      <c r="K43" s="17">
        <v>0</v>
      </c>
      <c r="L43" s="17">
        <v>0</v>
      </c>
      <c r="M43" s="18">
        <f t="shared" si="0"/>
        <v>8069651.95</v>
      </c>
      <c r="N43" s="31">
        <f>(VLOOKUP(B43,'[2]Sheet1'!$B$17:$N$77,13,0))+8069651.95</f>
        <v>277908202.81</v>
      </c>
      <c r="O43" s="34">
        <f t="shared" si="1"/>
        <v>0.0005691667078820629</v>
      </c>
      <c r="P43" s="36"/>
    </row>
    <row r="44" spans="1:16" ht="1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VLOOKUP(B44,'[1]Brokers'!$B$9:$H$69,7,0)</f>
        <v>1297500</v>
      </c>
      <c r="H44" s="17">
        <f>VLOOKUP(B44,'[3]Brokers'!$B$9:$W$69,22,0)</f>
        <v>0</v>
      </c>
      <c r="I44" s="40">
        <f>VLOOKUP(B44,'[1]Brokers'!$B$9:$R$69,17,0)</f>
        <v>0</v>
      </c>
      <c r="J44" s="17">
        <f>VLOOKUP(B44,'[1]Brokers'!$B$9:$M$69,12,0)</f>
        <v>0</v>
      </c>
      <c r="K44" s="17">
        <v>0</v>
      </c>
      <c r="L44" s="17">
        <v>0</v>
      </c>
      <c r="M44" s="18">
        <f t="shared" si="0"/>
        <v>1297500</v>
      </c>
      <c r="N44" s="31">
        <f>(VLOOKUP(B44,'[2]Sheet1'!$B$17:$N$77,13,0))+1297500</f>
        <v>322063681.45</v>
      </c>
      <c r="O44" s="34">
        <f t="shared" si="1"/>
        <v>0.0006595988295624283</v>
      </c>
      <c r="P44" s="36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VLOOKUP(B45,'[1]Brokers'!$B$9:$H$69,7,0)</f>
        <v>22908259</v>
      </c>
      <c r="H45" s="17">
        <f>VLOOKUP(B45,'[3]Brokers'!$B$9:$W$69,22,0)</f>
        <v>0</v>
      </c>
      <c r="I45" s="40">
        <f>VLOOKUP(B45,'[1]Brokers'!$B$9:$R$69,17,0)</f>
        <v>0</v>
      </c>
      <c r="J45" s="17">
        <f>VLOOKUP(B45,'[1]Brokers'!$B$9:$M$69,12,0)</f>
        <v>0</v>
      </c>
      <c r="K45" s="17">
        <v>0</v>
      </c>
      <c r="L45" s="17">
        <v>0</v>
      </c>
      <c r="M45" s="18">
        <f t="shared" si="0"/>
        <v>22908259</v>
      </c>
      <c r="N45" s="31">
        <f>(VLOOKUP(B45,'[2]Sheet1'!$B$17:$N$77,13,0))+22908259</f>
        <v>226430912.52999997</v>
      </c>
      <c r="O45" s="34">
        <f t="shared" si="1"/>
        <v>0.00046373923383449713</v>
      </c>
      <c r="P45" s="36"/>
    </row>
    <row r="46" spans="1:16" ht="15">
      <c r="A46" s="12">
        <v>31</v>
      </c>
      <c r="B46" s="13" t="s">
        <v>75</v>
      </c>
      <c r="C46" s="14" t="s">
        <v>76</v>
      </c>
      <c r="D46" s="15" t="s">
        <v>14</v>
      </c>
      <c r="E46" s="16"/>
      <c r="F46" s="16"/>
      <c r="G46" s="17">
        <f>VLOOKUP(B46,'[1]Brokers'!$B$9:$H$69,7,0)</f>
        <v>0</v>
      </c>
      <c r="H46" s="17">
        <f>VLOOKUP(B46,'[3]Brokers'!$B$9:$W$69,22,0)</f>
        <v>0</v>
      </c>
      <c r="I46" s="40">
        <f>VLOOKUP(B46,'[1]Brokers'!$B$9:$R$69,17,0)</f>
        <v>0</v>
      </c>
      <c r="J46" s="17">
        <f>VLOOKUP(B46,'[1]Brokers'!$B$9:$M$69,12,0)</f>
        <v>0</v>
      </c>
      <c r="K46" s="17">
        <v>0</v>
      </c>
      <c r="L46" s="17">
        <v>0</v>
      </c>
      <c r="M46" s="18">
        <f t="shared" si="0"/>
        <v>0</v>
      </c>
      <c r="N46" s="31">
        <f>(VLOOKUP(B46,'[2]Sheet1'!$B$17:$N$77,13,0))+0</f>
        <v>176331062</v>
      </c>
      <c r="O46" s="34">
        <f t="shared" si="1"/>
        <v>0.0003611328094712741</v>
      </c>
      <c r="P46" s="36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VLOOKUP(B47,'[1]Brokers'!$B$9:$H$69,7,0)</f>
        <v>10679005</v>
      </c>
      <c r="H47" s="17">
        <f>VLOOKUP(B47,'[3]Brokers'!$B$9:$W$69,22,0)</f>
        <v>0</v>
      </c>
      <c r="I47" s="40">
        <f>VLOOKUP(B47,'[1]Brokers'!$B$9:$R$69,17,0)</f>
        <v>0</v>
      </c>
      <c r="J47" s="17">
        <f>VLOOKUP(B47,'[1]Brokers'!$B$9:$M$69,12,0)</f>
        <v>0</v>
      </c>
      <c r="K47" s="17">
        <v>0</v>
      </c>
      <c r="L47" s="17">
        <v>0</v>
      </c>
      <c r="M47" s="18">
        <f t="shared" si="0"/>
        <v>10679005</v>
      </c>
      <c r="N47" s="31">
        <f>(VLOOKUP(B47,'[2]Sheet1'!$B$17:$N$77,13,0))+10679005</f>
        <v>231014465.91</v>
      </c>
      <c r="O47" s="34">
        <f t="shared" si="1"/>
        <v>0.000473126527772992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VLOOKUP(B48,'[1]Brokers'!$B$9:$H$69,7,0)</f>
        <v>1687400</v>
      </c>
      <c r="H48" s="17">
        <f>VLOOKUP(B48,'[3]Brokers'!$B$9:$W$69,22,0)</f>
        <v>0</v>
      </c>
      <c r="I48" s="40">
        <f>VLOOKUP(B48,'[1]Brokers'!$B$9:$R$69,17,0)</f>
        <v>0</v>
      </c>
      <c r="J48" s="17">
        <f>VLOOKUP(B48,'[1]Brokers'!$B$9:$M$69,12,0)</f>
        <v>0</v>
      </c>
      <c r="K48" s="17">
        <v>0</v>
      </c>
      <c r="L48" s="17">
        <v>0</v>
      </c>
      <c r="M48" s="18">
        <f t="shared" si="0"/>
        <v>1687400</v>
      </c>
      <c r="N48" s="31">
        <f>(VLOOKUP(B48,'[2]Sheet1'!$B$17:$N$77,13,0))+1687400</f>
        <v>153686299.26999998</v>
      </c>
      <c r="O48" s="34">
        <f aca="true" t="shared" si="2" ref="O48:O74">N48/$N$75</f>
        <v>0.000314755462838522</v>
      </c>
      <c r="P48" s="36"/>
    </row>
    <row r="49" spans="1:16" ht="1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>
        <f>VLOOKUP(B49,'[1]Brokers'!$B$9:$H$69,7,0)</f>
        <v>15297873.5</v>
      </c>
      <c r="H49" s="17">
        <f>VLOOKUP(B49,'[3]Brokers'!$B$9:$W$69,22,0)</f>
        <v>0</v>
      </c>
      <c r="I49" s="40">
        <f>VLOOKUP(B49,'[1]Brokers'!$B$9:$R$69,17,0)</f>
        <v>0</v>
      </c>
      <c r="J49" s="17">
        <f>VLOOKUP(B49,'[1]Brokers'!$B$9:$M$69,12,0)</f>
        <v>0</v>
      </c>
      <c r="K49" s="17">
        <v>0</v>
      </c>
      <c r="L49" s="17">
        <v>0</v>
      </c>
      <c r="M49" s="18">
        <f t="shared" si="0"/>
        <v>15297873.5</v>
      </c>
      <c r="N49" s="31">
        <f>(VLOOKUP(B49,'[2]Sheet1'!$B$17:$N$77,13,0))+15297873.5</f>
        <v>158827008.34</v>
      </c>
      <c r="O49" s="34">
        <f t="shared" si="2"/>
        <v>0.00032528383309879735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VLOOKUP(B50,'[1]Brokers'!$B$9:$H$69,7,0)</f>
        <v>97104</v>
      </c>
      <c r="H50" s="17">
        <f>VLOOKUP(B50,'[3]Brokers'!$B$9:$W$69,22,0)</f>
        <v>0</v>
      </c>
      <c r="I50" s="40">
        <f>VLOOKUP(B50,'[1]Brokers'!$B$9:$R$69,17,0)</f>
        <v>0</v>
      </c>
      <c r="J50" s="17">
        <f>VLOOKUP(B50,'[1]Brokers'!$B$9:$M$69,12,0)</f>
        <v>0</v>
      </c>
      <c r="K50" s="17">
        <v>0</v>
      </c>
      <c r="L50" s="17">
        <v>0</v>
      </c>
      <c r="M50" s="18">
        <f t="shared" si="0"/>
        <v>97104</v>
      </c>
      <c r="N50" s="31">
        <f>(VLOOKUP(B50,'[2]Sheet1'!$B$17:$N$77,13,0))+97104</f>
        <v>180965807.76999998</v>
      </c>
      <c r="O50" s="34">
        <f t="shared" si="2"/>
        <v>0.00037062494739706505</v>
      </c>
      <c r="P50" s="36"/>
    </row>
    <row r="51" spans="1:17" s="20" customFormat="1" ht="15">
      <c r="A51" s="12">
        <v>36</v>
      </c>
      <c r="B51" s="13" t="s">
        <v>39</v>
      </c>
      <c r="C51" s="14" t="s">
        <v>40</v>
      </c>
      <c r="D51" s="15" t="s">
        <v>14</v>
      </c>
      <c r="E51" s="16"/>
      <c r="F51" s="16"/>
      <c r="G51" s="17">
        <f>VLOOKUP(B51,'[1]Brokers'!$B$9:$H$69,7,0)</f>
        <v>1068800</v>
      </c>
      <c r="H51" s="17">
        <f>VLOOKUP(B51,'[3]Brokers'!$B$9:$W$69,22,0)</f>
        <v>0</v>
      </c>
      <c r="I51" s="40">
        <f>VLOOKUP(B51,'[1]Brokers'!$B$9:$R$69,17,0)</f>
        <v>0</v>
      </c>
      <c r="J51" s="17">
        <f>VLOOKUP(B51,'[1]Brokers'!$B$9:$M$69,12,0)</f>
        <v>0</v>
      </c>
      <c r="K51" s="17">
        <v>0</v>
      </c>
      <c r="L51" s="17">
        <v>0</v>
      </c>
      <c r="M51" s="18">
        <f t="shared" si="0"/>
        <v>1068800</v>
      </c>
      <c r="N51" s="31">
        <f>(VLOOKUP(B51,'[2]Sheet1'!$B$17:$N$77,13,0))+1068800</f>
        <v>131223043.60000001</v>
      </c>
      <c r="O51" s="34">
        <f t="shared" si="2"/>
        <v>0.00026874984965858994</v>
      </c>
      <c r="P51" s="36"/>
      <c r="Q51" s="1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VLOOKUP(B52,'[1]Brokers'!$B$9:$H$69,7,0)</f>
        <v>0</v>
      </c>
      <c r="H52" s="17">
        <f>VLOOKUP(B52,'[3]Brokers'!$B$9:$W$69,22,0)</f>
        <v>0</v>
      </c>
      <c r="I52" s="40">
        <f>VLOOKUP(B52,'[1]Brokers'!$B$9:$R$69,17,0)</f>
        <v>0</v>
      </c>
      <c r="J52" s="17">
        <f>VLOOKUP(B52,'[1]Brokers'!$B$9:$M$69,12,0)</f>
        <v>0</v>
      </c>
      <c r="K52" s="17">
        <v>0</v>
      </c>
      <c r="L52" s="17">
        <v>0</v>
      </c>
      <c r="M52" s="18">
        <f t="shared" si="0"/>
        <v>0</v>
      </c>
      <c r="N52" s="31">
        <f>(VLOOKUP(B52,'[2]Sheet1'!$B$17:$N$77,13,0))+0</f>
        <v>133224204.21000001</v>
      </c>
      <c r="O52" s="34">
        <f t="shared" si="2"/>
        <v>0.00027284830369780254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VLOOKUP(B53,'[1]Brokers'!$B$9:$H$69,7,0)</f>
        <v>1920110</v>
      </c>
      <c r="H53" s="17">
        <f>VLOOKUP(B53,'[3]Brokers'!$B$9:$W$69,22,0)</f>
        <v>0</v>
      </c>
      <c r="I53" s="40">
        <f>VLOOKUP(B53,'[1]Brokers'!$B$9:$R$69,17,0)</f>
        <v>0</v>
      </c>
      <c r="J53" s="17">
        <f>VLOOKUP(B53,'[1]Brokers'!$B$9:$M$69,12,0)</f>
        <v>0</v>
      </c>
      <c r="K53" s="17">
        <v>0</v>
      </c>
      <c r="L53" s="17">
        <v>0</v>
      </c>
      <c r="M53" s="18">
        <f t="shared" si="0"/>
        <v>1920110</v>
      </c>
      <c r="N53" s="31">
        <f>(VLOOKUP(B53,'[2]Sheet1'!$B$17:$N$77,13,0))+1920110</f>
        <v>87975976.23999998</v>
      </c>
      <c r="O53" s="34">
        <f t="shared" si="2"/>
        <v>0.0001801781892831182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VLOOKUP(B54,'[1]Brokers'!$B$9:$H$69,7,0)</f>
        <v>534735</v>
      </c>
      <c r="H54" s="17">
        <f>VLOOKUP(B54,'[3]Brokers'!$B$9:$W$69,22,0)</f>
        <v>0</v>
      </c>
      <c r="I54" s="40">
        <f>VLOOKUP(B54,'[1]Brokers'!$B$9:$R$69,17,0)</f>
        <v>0</v>
      </c>
      <c r="J54" s="17">
        <f>VLOOKUP(B54,'[1]Brokers'!$B$9:$M$69,12,0)</f>
        <v>0</v>
      </c>
      <c r="K54" s="17">
        <v>0</v>
      </c>
      <c r="L54" s="17">
        <v>0</v>
      </c>
      <c r="M54" s="18">
        <f t="shared" si="0"/>
        <v>534735</v>
      </c>
      <c r="N54" s="31">
        <f>(VLOOKUP(B54,'[2]Sheet1'!$B$17:$N$77,13,0))+534735</f>
        <v>73291459.97</v>
      </c>
      <c r="O54" s="34">
        <f t="shared" si="2"/>
        <v>0.0001501037341294838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VLOOKUP(B55,'[1]Brokers'!$B$9:$H$69,7,0)</f>
        <v>7926997</v>
      </c>
      <c r="H55" s="17">
        <f>VLOOKUP(B55,'[3]Brokers'!$B$9:$W$69,22,0)</f>
        <v>0</v>
      </c>
      <c r="I55" s="40">
        <f>VLOOKUP(B55,'[1]Brokers'!$B$9:$R$69,17,0)</f>
        <v>0</v>
      </c>
      <c r="J55" s="17">
        <f>VLOOKUP(B55,'[1]Brokers'!$B$9:$M$69,12,0)</f>
        <v>0</v>
      </c>
      <c r="K55" s="17">
        <v>0</v>
      </c>
      <c r="L55" s="17">
        <v>0</v>
      </c>
      <c r="M55" s="18">
        <f t="shared" si="0"/>
        <v>7926997</v>
      </c>
      <c r="N55" s="31">
        <f>(VLOOKUP(B55,'[2]Sheet1'!$B$17:$N$77,13,0))+7926997</f>
        <v>66465357.419999994</v>
      </c>
      <c r="O55" s="34">
        <f t="shared" si="2"/>
        <v>0.00013612361307956616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VLOOKUP(B56,'[1]Brokers'!$B$9:$H$69,7,0)</f>
        <v>0</v>
      </c>
      <c r="H56" s="17">
        <f>VLOOKUP(B56,'[3]Brokers'!$B$9:$W$69,22,0)</f>
        <v>0</v>
      </c>
      <c r="I56" s="40">
        <f>VLOOKUP(B56,'[1]Brokers'!$B$9:$R$69,17,0)</f>
        <v>0</v>
      </c>
      <c r="J56" s="17">
        <f>VLOOKUP(B56,'[1]Brokers'!$B$9:$M$69,12,0)</f>
        <v>0</v>
      </c>
      <c r="K56" s="17">
        <v>0</v>
      </c>
      <c r="L56" s="17">
        <v>0</v>
      </c>
      <c r="M56" s="18">
        <f t="shared" si="0"/>
        <v>0</v>
      </c>
      <c r="N56" s="31">
        <f>(VLOOKUP(B56,'[2]Sheet1'!$B$17:$N$77,13,0))+0</f>
        <v>48181245.03</v>
      </c>
      <c r="O56" s="34">
        <f t="shared" si="2"/>
        <v>9.867704637035399E-05</v>
      </c>
      <c r="P56" s="36"/>
    </row>
    <row r="57" spans="1:16" ht="15">
      <c r="A57" s="12">
        <v>42</v>
      </c>
      <c r="B57" s="13" t="s">
        <v>131</v>
      </c>
      <c r="C57" s="14" t="s">
        <v>130</v>
      </c>
      <c r="D57" s="15" t="s">
        <v>14</v>
      </c>
      <c r="E57" s="16"/>
      <c r="F57" s="16"/>
      <c r="G57" s="17">
        <f>VLOOKUP(B57,'[1]Brokers'!$B$9:$H$69,7,0)</f>
        <v>104000</v>
      </c>
      <c r="H57" s="17">
        <f>VLOOKUP(B57,'[3]Brokers'!$B$9:$W$69,22,0)</f>
        <v>0</v>
      </c>
      <c r="I57" s="40">
        <f>VLOOKUP(B57,'[1]Brokers'!$B$9:$R$69,17,0)</f>
        <v>0</v>
      </c>
      <c r="J57" s="17">
        <f>VLOOKUP(B57,'[1]Brokers'!$B$9:$M$69,12,0)</f>
        <v>0</v>
      </c>
      <c r="K57" s="17"/>
      <c r="L57" s="17">
        <v>0</v>
      </c>
      <c r="M57" s="18">
        <f t="shared" si="0"/>
        <v>104000</v>
      </c>
      <c r="N57" s="31">
        <f>(VLOOKUP(B57,'[2]Sheet1'!$B$17:$N$77,13,0))+104000</f>
        <v>56075673.15</v>
      </c>
      <c r="O57" s="34">
        <f t="shared" si="2"/>
        <v>0.00011484513935299948</v>
      </c>
      <c r="P57" s="36"/>
    </row>
    <row r="58" spans="1:16" ht="15">
      <c r="A58" s="12">
        <v>43</v>
      </c>
      <c r="B58" s="13" t="s">
        <v>133</v>
      </c>
      <c r="C58" s="14" t="s">
        <v>135</v>
      </c>
      <c r="D58" s="15" t="s">
        <v>14</v>
      </c>
      <c r="E58" s="16"/>
      <c r="F58" s="16"/>
      <c r="G58" s="17">
        <f>VLOOKUP(B58,'[1]Brokers'!$B$9:$H$69,7,0)</f>
        <v>20046831.2</v>
      </c>
      <c r="H58" s="17">
        <v>1500000</v>
      </c>
      <c r="I58" s="40">
        <f>VLOOKUP(B58,'[1]Brokers'!$B$9:$R$69,17,0)</f>
        <v>0</v>
      </c>
      <c r="J58" s="17">
        <f>VLOOKUP(B58,'[1]Brokers'!$B$9:$M$69,12,0)</f>
        <v>0</v>
      </c>
      <c r="K58" s="17">
        <v>0</v>
      </c>
      <c r="L58" s="17">
        <v>0</v>
      </c>
      <c r="M58" s="18">
        <f t="shared" si="0"/>
        <v>21546831.2</v>
      </c>
      <c r="N58" s="31">
        <f>(VLOOKUP(B58,'[2]Sheet1'!$B$17:$N$77,13,0))+21546831.2</f>
        <v>21660331.2</v>
      </c>
      <c r="O58" s="34">
        <f t="shared" si="2"/>
        <v>4.4361192926600156E-05</v>
      </c>
      <c r="P58" s="36"/>
    </row>
    <row r="59" spans="1:16" ht="15">
      <c r="A59" s="12">
        <v>44</v>
      </c>
      <c r="B59" s="13" t="s">
        <v>86</v>
      </c>
      <c r="C59" s="14" t="s">
        <v>87</v>
      </c>
      <c r="D59" s="15" t="s">
        <v>14</v>
      </c>
      <c r="E59" s="16"/>
      <c r="F59" s="16"/>
      <c r="G59" s="17">
        <f>VLOOKUP(B59,'[1]Brokers'!$B$9:$H$69,7,0)</f>
        <v>1849200</v>
      </c>
      <c r="H59" s="17">
        <f>VLOOKUP(B59,'[3]Brokers'!$B$9:$W$69,22,0)</f>
        <v>0</v>
      </c>
      <c r="I59" s="40">
        <f>VLOOKUP(B59,'[1]Brokers'!$B$9:$R$69,17,0)</f>
        <v>0</v>
      </c>
      <c r="J59" s="17">
        <f>VLOOKUP(B59,'[1]Brokers'!$B$9:$M$69,12,0)</f>
        <v>0</v>
      </c>
      <c r="K59" s="17">
        <v>0</v>
      </c>
      <c r="L59" s="17">
        <v>0</v>
      </c>
      <c r="M59" s="18">
        <f t="shared" si="0"/>
        <v>1849200</v>
      </c>
      <c r="N59" s="31">
        <f>(VLOOKUP(B59,'[2]Sheet1'!$B$17:$N$77,13,0))+1849200</f>
        <v>20811836.3</v>
      </c>
      <c r="O59" s="34">
        <f t="shared" si="2"/>
        <v>4.262344267668079E-05</v>
      </c>
      <c r="P59" s="36"/>
    </row>
    <row r="60" spans="1:16" ht="15">
      <c r="A60" s="12">
        <v>45</v>
      </c>
      <c r="B60" s="13" t="s">
        <v>96</v>
      </c>
      <c r="C60" s="14" t="s">
        <v>97</v>
      </c>
      <c r="D60" s="15" t="s">
        <v>14</v>
      </c>
      <c r="E60" s="16"/>
      <c r="F60" s="16"/>
      <c r="G60" s="17">
        <f>VLOOKUP(B60,'[1]Brokers'!$B$9:$H$69,7,0)</f>
        <v>1871145</v>
      </c>
      <c r="H60" s="17">
        <f>VLOOKUP(B60,'[3]Brokers'!$B$9:$W$69,22,0)</f>
        <v>0</v>
      </c>
      <c r="I60" s="40">
        <f>VLOOKUP(B60,'[1]Brokers'!$B$9:$R$69,17,0)</f>
        <v>0</v>
      </c>
      <c r="J60" s="17">
        <f>VLOOKUP(B60,'[1]Brokers'!$B$9:$M$69,12,0)</f>
        <v>0</v>
      </c>
      <c r="K60" s="17">
        <v>0</v>
      </c>
      <c r="L60" s="17">
        <v>0</v>
      </c>
      <c r="M60" s="18">
        <f t="shared" si="0"/>
        <v>1871145</v>
      </c>
      <c r="N60" s="31">
        <f>(VLOOKUP(B60,'[2]Sheet1'!$B$17:$N$77,13,0))+1871145</f>
        <v>22435840</v>
      </c>
      <c r="O60" s="34">
        <f t="shared" si="2"/>
        <v>4.594946483137492E-05</v>
      </c>
      <c r="P60" s="36"/>
    </row>
    <row r="61" spans="1:16" ht="15">
      <c r="A61" s="12">
        <v>46</v>
      </c>
      <c r="B61" s="13" t="s">
        <v>104</v>
      </c>
      <c r="C61" s="14" t="s">
        <v>105</v>
      </c>
      <c r="D61" s="15" t="s">
        <v>14</v>
      </c>
      <c r="E61" s="15" t="s">
        <v>14</v>
      </c>
      <c r="F61" s="16"/>
      <c r="G61" s="17">
        <f>VLOOKUP(B61,'[1]Brokers'!$B$9:$H$69,7,0)</f>
        <v>0</v>
      </c>
      <c r="H61" s="17">
        <f>VLOOKUP(B61,'[3]Brokers'!$B$9:$W$69,22,0)</f>
        <v>0</v>
      </c>
      <c r="I61" s="40">
        <f>VLOOKUP(B61,'[1]Brokers'!$B$9:$R$69,17,0)</f>
        <v>0</v>
      </c>
      <c r="J61" s="17">
        <f>VLOOKUP(B61,'[1]Brokers'!$B$9:$M$69,12,0)</f>
        <v>0</v>
      </c>
      <c r="K61" s="17">
        <v>0</v>
      </c>
      <c r="L61" s="17">
        <v>0</v>
      </c>
      <c r="M61" s="18">
        <f t="shared" si="0"/>
        <v>0</v>
      </c>
      <c r="N61" s="31">
        <f>(VLOOKUP(B61,'[2]Sheet1'!$B$17:$N$77,13,0))+0</f>
        <v>3788300</v>
      </c>
      <c r="O61" s="34">
        <f t="shared" si="2"/>
        <v>7.758584373069946E-06</v>
      </c>
      <c r="P61" s="36"/>
    </row>
    <row r="62" spans="1:16" ht="15">
      <c r="A62" s="12">
        <v>47</v>
      </c>
      <c r="B62" s="13" t="s">
        <v>110</v>
      </c>
      <c r="C62" s="14" t="s">
        <v>111</v>
      </c>
      <c r="D62" s="15" t="s">
        <v>14</v>
      </c>
      <c r="E62" s="16"/>
      <c r="F62" s="16"/>
      <c r="G62" s="17">
        <f>VLOOKUP(B62,'[1]Brokers'!$B$9:$H$69,7,0)</f>
        <v>49000</v>
      </c>
      <c r="H62" s="17">
        <f>VLOOKUP(B62,'[3]Brokers'!$B$9:$W$69,22,0)</f>
        <v>0</v>
      </c>
      <c r="I62" s="40">
        <f>VLOOKUP(B62,'[1]Brokers'!$B$9:$R$69,17,0)</f>
        <v>0</v>
      </c>
      <c r="J62" s="17">
        <f>VLOOKUP(B62,'[1]Brokers'!$B$9:$M$69,12,0)</f>
        <v>0</v>
      </c>
      <c r="K62" s="17">
        <v>0</v>
      </c>
      <c r="L62" s="17">
        <v>0</v>
      </c>
      <c r="M62" s="18">
        <f t="shared" si="0"/>
        <v>49000</v>
      </c>
      <c r="N62" s="31">
        <f>(VLOOKUP(B62,'[2]Sheet1'!$B$17:$N$77,13,0))+49000</f>
        <v>49000</v>
      </c>
      <c r="O62" s="34">
        <f t="shared" si="2"/>
        <v>1.0035388809767635E-07</v>
      </c>
      <c r="P62" s="36"/>
    </row>
    <row r="63" spans="1:16" ht="15">
      <c r="A63" s="12">
        <v>48</v>
      </c>
      <c r="B63" s="13" t="s">
        <v>112</v>
      </c>
      <c r="C63" s="14" t="s">
        <v>113</v>
      </c>
      <c r="D63" s="15"/>
      <c r="E63" s="16"/>
      <c r="F63" s="16"/>
      <c r="G63" s="17">
        <f>VLOOKUP(B63,'[1]Brokers'!$B$9:$H$69,7,0)</f>
        <v>0</v>
      </c>
      <c r="H63" s="17">
        <f>VLOOKUP(B63,'[3]Brokers'!$B$9:$W$69,22,0)</f>
        <v>0</v>
      </c>
      <c r="I63" s="40">
        <f>VLOOKUP(B63,'[1]Brokers'!$B$9:$R$69,17,0)</f>
        <v>0</v>
      </c>
      <c r="J63" s="17">
        <f>VLOOKUP(B63,'[1]Brokers'!$B$9:$M$69,12,0)</f>
        <v>0</v>
      </c>
      <c r="K63" s="17">
        <v>0</v>
      </c>
      <c r="L63" s="17">
        <v>0</v>
      </c>
      <c r="M63" s="18">
        <f t="shared" si="0"/>
        <v>0</v>
      </c>
      <c r="N63" s="31">
        <f>(VLOOKUP(B63,'[2]Sheet1'!$B$17:$N$77,13,0))+0</f>
        <v>0</v>
      </c>
      <c r="O63" s="34">
        <f t="shared" si="2"/>
        <v>0</v>
      </c>
      <c r="P63" s="36"/>
    </row>
    <row r="64" spans="1:16" ht="15">
      <c r="A64" s="12">
        <v>49</v>
      </c>
      <c r="B64" s="13" t="s">
        <v>116</v>
      </c>
      <c r="C64" s="14" t="s">
        <v>117</v>
      </c>
      <c r="D64" s="15"/>
      <c r="E64" s="16"/>
      <c r="F64" s="16"/>
      <c r="G64" s="17">
        <f>VLOOKUP(B64,'[1]Brokers'!$B$9:$H$69,7,0)</f>
        <v>0</v>
      </c>
      <c r="H64" s="17">
        <f>VLOOKUP(B64,'[3]Brokers'!$B$9:$W$69,22,0)</f>
        <v>0</v>
      </c>
      <c r="I64" s="40">
        <f>VLOOKUP(B64,'[1]Brokers'!$B$9:$R$69,17,0)</f>
        <v>0</v>
      </c>
      <c r="J64" s="17">
        <f>VLOOKUP(B64,'[1]Brokers'!$B$9:$M$69,12,0)</f>
        <v>0</v>
      </c>
      <c r="K64" s="17">
        <v>0</v>
      </c>
      <c r="L64" s="17">
        <v>0</v>
      </c>
      <c r="M64" s="18">
        <f t="shared" si="0"/>
        <v>0</v>
      </c>
      <c r="N64" s="31">
        <f>(VLOOKUP(B64,'[2]Sheet1'!$B$17:$N$77,13,0))+0</f>
        <v>0</v>
      </c>
      <c r="O64" s="34">
        <f t="shared" si="2"/>
        <v>0</v>
      </c>
      <c r="P64" s="36"/>
    </row>
    <row r="65" spans="1:16" ht="15">
      <c r="A65" s="12">
        <v>50</v>
      </c>
      <c r="B65" s="13" t="s">
        <v>114</v>
      </c>
      <c r="C65" s="14" t="s">
        <v>115</v>
      </c>
      <c r="D65" s="15"/>
      <c r="E65" s="16"/>
      <c r="F65" s="16"/>
      <c r="G65" s="17">
        <f>VLOOKUP(B65,'[1]Brokers'!$B$9:$H$69,7,0)</f>
        <v>0</v>
      </c>
      <c r="H65" s="17">
        <f>VLOOKUP(B65,'[3]Brokers'!$B$9:$W$69,22,0)</f>
        <v>0</v>
      </c>
      <c r="I65" s="40">
        <f>VLOOKUP(B65,'[1]Brokers'!$B$9:$R$69,17,0)</f>
        <v>0</v>
      </c>
      <c r="J65" s="17">
        <f>VLOOKUP(B65,'[1]Brokers'!$B$9:$M$69,12,0)</f>
        <v>0</v>
      </c>
      <c r="K65" s="17">
        <v>0</v>
      </c>
      <c r="L65" s="17">
        <v>0</v>
      </c>
      <c r="M65" s="18">
        <f t="shared" si="0"/>
        <v>0</v>
      </c>
      <c r="N65" s="31">
        <f>(VLOOKUP(B65,'[2]Sheet1'!$B$17:$N$77,13,0))+0</f>
        <v>0</v>
      </c>
      <c r="O65" s="34">
        <f t="shared" si="2"/>
        <v>0</v>
      </c>
      <c r="P65" s="36"/>
    </row>
    <row r="66" spans="1:16" ht="15">
      <c r="A66" s="12">
        <v>51</v>
      </c>
      <c r="B66" s="13" t="s">
        <v>108</v>
      </c>
      <c r="C66" s="14" t="s">
        <v>109</v>
      </c>
      <c r="D66" s="15"/>
      <c r="E66" s="16"/>
      <c r="F66" s="16"/>
      <c r="G66" s="17">
        <f>VLOOKUP(B66,'[1]Brokers'!$B$9:$H$69,7,0)</f>
        <v>0</v>
      </c>
      <c r="H66" s="17">
        <f>VLOOKUP(B66,'[3]Brokers'!$B$9:$W$69,22,0)</f>
        <v>0</v>
      </c>
      <c r="I66" s="40">
        <f>VLOOKUP(B66,'[1]Brokers'!$B$9:$R$69,17,0)</f>
        <v>0</v>
      </c>
      <c r="J66" s="17">
        <f>VLOOKUP(B66,'[1]Brokers'!$B$9:$M$69,12,0)</f>
        <v>0</v>
      </c>
      <c r="K66" s="17">
        <v>0</v>
      </c>
      <c r="L66" s="17">
        <v>0</v>
      </c>
      <c r="M66" s="18">
        <f t="shared" si="0"/>
        <v>0</v>
      </c>
      <c r="N66" s="31">
        <f>(VLOOKUP(B66,'[2]Sheet1'!$B$17:$N$77,13,0))+0</f>
        <v>0</v>
      </c>
      <c r="O66" s="34">
        <f t="shared" si="2"/>
        <v>0</v>
      </c>
      <c r="P66" s="36"/>
    </row>
    <row r="67" spans="1:16" ht="15">
      <c r="A67" s="12">
        <v>52</v>
      </c>
      <c r="B67" s="13" t="s">
        <v>71</v>
      </c>
      <c r="C67" s="14" t="s">
        <v>72</v>
      </c>
      <c r="D67" s="15" t="s">
        <v>14</v>
      </c>
      <c r="E67" s="16" t="s">
        <v>14</v>
      </c>
      <c r="F67" s="16"/>
      <c r="G67" s="17">
        <f>VLOOKUP(B67,'[1]Brokers'!$B$9:$H$69,7,0)</f>
        <v>0</v>
      </c>
      <c r="H67" s="17">
        <f>VLOOKUP(B67,'[3]Brokers'!$B$9:$W$69,22,0)</f>
        <v>0</v>
      </c>
      <c r="I67" s="40">
        <f>VLOOKUP(B67,'[1]Brokers'!$B$9:$R$69,17,0)</f>
        <v>0</v>
      </c>
      <c r="J67" s="17">
        <f>VLOOKUP(B67,'[1]Brokers'!$B$9:$M$69,12,0)</f>
        <v>0</v>
      </c>
      <c r="K67" s="17">
        <v>0</v>
      </c>
      <c r="L67" s="17">
        <v>0</v>
      </c>
      <c r="M67" s="18">
        <f t="shared" si="0"/>
        <v>0</v>
      </c>
      <c r="N67" s="31">
        <f>(VLOOKUP(B67,'[2]Sheet1'!$B$17:$N$77,13,0))+0</f>
        <v>0</v>
      </c>
      <c r="O67" s="34">
        <f t="shared" si="2"/>
        <v>0</v>
      </c>
      <c r="P67" s="36"/>
    </row>
    <row r="68" spans="1:16" ht="15">
      <c r="A68" s="12">
        <v>53</v>
      </c>
      <c r="B68" s="13" t="s">
        <v>92</v>
      </c>
      <c r="C68" s="14" t="s">
        <v>93</v>
      </c>
      <c r="D68" s="15" t="s">
        <v>14</v>
      </c>
      <c r="E68" s="16" t="s">
        <v>14</v>
      </c>
      <c r="F68" s="16" t="s">
        <v>14</v>
      </c>
      <c r="G68" s="17">
        <f>VLOOKUP(B68,'[1]Brokers'!$B$9:$H$69,7,0)</f>
        <v>0</v>
      </c>
      <c r="H68" s="17">
        <f>VLOOKUP(B68,'[3]Brokers'!$B$9:$W$69,22,0)</f>
        <v>0</v>
      </c>
      <c r="I68" s="40">
        <f>VLOOKUP(B68,'[1]Brokers'!$B$9:$R$69,17,0)</f>
        <v>0</v>
      </c>
      <c r="J68" s="17">
        <f>VLOOKUP(B68,'[1]Brokers'!$B$9:$M$69,12,0)</f>
        <v>0</v>
      </c>
      <c r="K68" s="17">
        <v>0</v>
      </c>
      <c r="L68" s="17">
        <v>0</v>
      </c>
      <c r="M68" s="18">
        <f t="shared" si="0"/>
        <v>0</v>
      </c>
      <c r="N68" s="31">
        <f>(VLOOKUP(B68,'[2]Sheet1'!$B$17:$N$77,13,0))+0</f>
        <v>0</v>
      </c>
      <c r="O68" s="34">
        <f t="shared" si="2"/>
        <v>0</v>
      </c>
      <c r="P68" s="36"/>
    </row>
    <row r="69" spans="1:16" ht="15">
      <c r="A69" s="12">
        <v>54</v>
      </c>
      <c r="B69" s="13" t="s">
        <v>98</v>
      </c>
      <c r="C69" s="14" t="s">
        <v>99</v>
      </c>
      <c r="D69" s="15" t="s">
        <v>14</v>
      </c>
      <c r="E69" s="16" t="s">
        <v>14</v>
      </c>
      <c r="F69" s="16" t="s">
        <v>14</v>
      </c>
      <c r="G69" s="17">
        <f>VLOOKUP(B69,'[1]Brokers'!$B$9:$H$69,7,0)</f>
        <v>0</v>
      </c>
      <c r="H69" s="17">
        <f>VLOOKUP(B69,'[3]Brokers'!$B$9:$W$69,22,0)</f>
        <v>0</v>
      </c>
      <c r="I69" s="40">
        <f>VLOOKUP(B69,'[1]Brokers'!$B$9:$R$69,17,0)</f>
        <v>0</v>
      </c>
      <c r="J69" s="17">
        <f>VLOOKUP(B69,'[1]Brokers'!$B$9:$M$69,12,0)</f>
        <v>0</v>
      </c>
      <c r="K69" s="17">
        <v>0</v>
      </c>
      <c r="L69" s="17">
        <v>0</v>
      </c>
      <c r="M69" s="18">
        <f t="shared" si="0"/>
        <v>0</v>
      </c>
      <c r="N69" s="31">
        <f>(VLOOKUP(B69,'[2]Sheet1'!$B$17:$N$77,13,0))+0</f>
        <v>0</v>
      </c>
      <c r="O69" s="34">
        <f t="shared" si="2"/>
        <v>0</v>
      </c>
      <c r="P69" s="36"/>
    </row>
    <row r="70" spans="1:16" ht="15">
      <c r="A70" s="12">
        <v>55</v>
      </c>
      <c r="B70" s="13" t="s">
        <v>100</v>
      </c>
      <c r="C70" s="14" t="s">
        <v>101</v>
      </c>
      <c r="D70" s="15" t="s">
        <v>14</v>
      </c>
      <c r="E70" s="16"/>
      <c r="F70" s="16"/>
      <c r="G70" s="17">
        <f>VLOOKUP(B70,'[1]Brokers'!$B$9:$H$69,7,0)</f>
        <v>0</v>
      </c>
      <c r="H70" s="17">
        <f>VLOOKUP(B70,'[3]Brokers'!$B$9:$W$69,22,0)</f>
        <v>0</v>
      </c>
      <c r="I70" s="40">
        <f>VLOOKUP(B70,'[1]Brokers'!$B$9:$R$69,17,0)</f>
        <v>0</v>
      </c>
      <c r="J70" s="17">
        <f>VLOOKUP(B70,'[1]Brokers'!$B$9:$M$69,12,0)</f>
        <v>0</v>
      </c>
      <c r="K70" s="17">
        <v>0</v>
      </c>
      <c r="L70" s="17">
        <v>0</v>
      </c>
      <c r="M70" s="18">
        <f t="shared" si="0"/>
        <v>0</v>
      </c>
      <c r="N70" s="31">
        <f>(VLOOKUP(B70,'[2]Sheet1'!$B$17:$N$77,13,0))+0</f>
        <v>0</v>
      </c>
      <c r="O70" s="34">
        <f t="shared" si="2"/>
        <v>0</v>
      </c>
      <c r="P70" s="36"/>
    </row>
    <row r="71" spans="1:17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VLOOKUP(B71,'[1]Brokers'!$B$9:$H$69,7,0)</f>
        <v>0</v>
      </c>
      <c r="H71" s="17">
        <f>VLOOKUP(B71,'[3]Brokers'!$B$9:$W$69,22,0)</f>
        <v>0</v>
      </c>
      <c r="I71" s="40">
        <f>VLOOKUP(B71,'[1]Brokers'!$B$9:$R$69,17,0)</f>
        <v>0</v>
      </c>
      <c r="J71" s="17">
        <f>VLOOKUP(B71,'[1]Brokers'!$B$9:$M$69,12,0)</f>
        <v>0</v>
      </c>
      <c r="K71" s="17">
        <v>0</v>
      </c>
      <c r="L71" s="17">
        <v>0</v>
      </c>
      <c r="M71" s="18">
        <f t="shared" si="0"/>
        <v>0</v>
      </c>
      <c r="N71" s="31">
        <f>(VLOOKUP(B71,'[2]Sheet1'!$B$17:$N$77,13,0))+0</f>
        <v>0</v>
      </c>
      <c r="O71" s="34">
        <f t="shared" si="2"/>
        <v>0</v>
      </c>
      <c r="P71" s="36"/>
      <c r="Q71" s="21"/>
    </row>
    <row r="72" spans="1:17" ht="15">
      <c r="A72" s="12">
        <v>57</v>
      </c>
      <c r="B72" s="13" t="s">
        <v>120</v>
      </c>
      <c r="C72" s="14" t="s">
        <v>121</v>
      </c>
      <c r="D72" s="15" t="s">
        <v>14</v>
      </c>
      <c r="E72" s="16"/>
      <c r="F72" s="16"/>
      <c r="G72" s="17">
        <f>VLOOKUP(B72,'[1]Brokers'!$B$9:$H$69,7,0)</f>
        <v>0</v>
      </c>
      <c r="H72" s="17">
        <f>VLOOKUP(B72,'[3]Brokers'!$B$9:$W$69,22,0)</f>
        <v>0</v>
      </c>
      <c r="I72" s="40">
        <f>VLOOKUP(B72,'[1]Brokers'!$B$9:$R$69,17,0)</f>
        <v>0</v>
      </c>
      <c r="J72" s="17">
        <f>VLOOKUP(B72,'[1]Brokers'!$B$9:$M$69,12,0)</f>
        <v>0</v>
      </c>
      <c r="K72" s="17">
        <v>0</v>
      </c>
      <c r="L72" s="17">
        <v>0</v>
      </c>
      <c r="M72" s="18">
        <f t="shared" si="0"/>
        <v>0</v>
      </c>
      <c r="N72" s="31">
        <f>(VLOOKUP(B72,'[2]Sheet1'!$B$17:$N$77,13,0))+0</f>
        <v>0</v>
      </c>
      <c r="O72" s="34">
        <f t="shared" si="2"/>
        <v>0</v>
      </c>
      <c r="P72" s="36"/>
      <c r="Q72" s="21"/>
    </row>
    <row r="73" spans="1:17" ht="15">
      <c r="A73" s="12">
        <v>58</v>
      </c>
      <c r="B73" s="37" t="s">
        <v>122</v>
      </c>
      <c r="C73" s="38" t="s">
        <v>123</v>
      </c>
      <c r="D73" s="15" t="s">
        <v>14</v>
      </c>
      <c r="E73" s="39"/>
      <c r="F73" s="39"/>
      <c r="G73" s="17">
        <f>VLOOKUP(B73,'[1]Brokers'!$B$9:$H$69,7,0)</f>
        <v>0</v>
      </c>
      <c r="H73" s="17">
        <f>VLOOKUP(B73,'[3]Brokers'!$B$9:$W$69,22,0)</f>
        <v>0</v>
      </c>
      <c r="I73" s="40">
        <f>VLOOKUP(B73,'[1]Brokers'!$B$9:$R$69,17,0)</f>
        <v>0</v>
      </c>
      <c r="J73" s="17">
        <f>VLOOKUP(B73,'[1]Brokers'!$B$9:$M$69,12,0)</f>
        <v>0</v>
      </c>
      <c r="K73" s="17">
        <v>0</v>
      </c>
      <c r="L73" s="17">
        <v>0</v>
      </c>
      <c r="M73" s="18">
        <f t="shared" si="0"/>
        <v>0</v>
      </c>
      <c r="N73" s="31">
        <f>(VLOOKUP(B73,'[2]Sheet1'!$B$17:$N$77,13,0))+0</f>
        <v>0</v>
      </c>
      <c r="O73" s="34">
        <f t="shared" si="2"/>
        <v>0</v>
      </c>
      <c r="P73" s="36"/>
      <c r="Q73" s="21"/>
    </row>
    <row r="74" spans="1:17" ht="15">
      <c r="A74" s="12">
        <v>59</v>
      </c>
      <c r="B74" s="37" t="s">
        <v>134</v>
      </c>
      <c r="C74" s="38" t="s">
        <v>136</v>
      </c>
      <c r="D74" s="15" t="s">
        <v>14</v>
      </c>
      <c r="E74" s="15" t="s">
        <v>14</v>
      </c>
      <c r="F74" s="15" t="s">
        <v>14</v>
      </c>
      <c r="G74" s="17">
        <f>VLOOKUP(B74,'[1]Brokers'!$B$9:$H$69,7,0)</f>
        <v>0</v>
      </c>
      <c r="H74" s="17">
        <f>VLOOKUP(B74,'[3]Brokers'!$B$9:$W$69,22,0)</f>
        <v>0</v>
      </c>
      <c r="I74" s="40">
        <f>VLOOKUP(B74,'[1]Brokers'!$B$9:$R$69,17,0)</f>
        <v>0</v>
      </c>
      <c r="J74" s="17">
        <f>VLOOKUP(B74,'[1]Brokers'!$B$9:$M$69,12,0)</f>
        <v>0</v>
      </c>
      <c r="K74" s="17">
        <v>0</v>
      </c>
      <c r="L74" s="17">
        <v>0</v>
      </c>
      <c r="M74" s="18">
        <f t="shared" si="0"/>
        <v>0</v>
      </c>
      <c r="N74" s="31">
        <f>(VLOOKUP(B74,'[2]Sheet1'!$B$17:$N$77,13,0))+0</f>
        <v>0</v>
      </c>
      <c r="O74" s="34">
        <f t="shared" si="2"/>
        <v>0</v>
      </c>
      <c r="P74" s="36"/>
      <c r="Q74" s="21"/>
    </row>
    <row r="75" spans="1:17" ht="16.5" thickBot="1">
      <c r="A75" s="52" t="s">
        <v>6</v>
      </c>
      <c r="B75" s="53"/>
      <c r="C75" s="54"/>
      <c r="D75" s="22">
        <f>COUNTA(D16:D74)</f>
        <v>55</v>
      </c>
      <c r="E75" s="22">
        <f>COUNTA(E16:E74)</f>
        <v>24</v>
      </c>
      <c r="F75" s="22">
        <f>COUNTA(F16:F74)</f>
        <v>14</v>
      </c>
      <c r="G75" s="23">
        <f aca="true" t="shared" si="3" ref="G75:O75">SUM(G16:G74)</f>
        <v>245475182867.6</v>
      </c>
      <c r="H75" s="23">
        <f t="shared" si="3"/>
        <v>1782858280</v>
      </c>
      <c r="I75" s="23">
        <f t="shared" si="3"/>
        <v>0</v>
      </c>
      <c r="J75" s="23">
        <f t="shared" si="3"/>
        <v>0</v>
      </c>
      <c r="K75" s="23">
        <f t="shared" si="3"/>
        <v>0</v>
      </c>
      <c r="L75" s="23">
        <f t="shared" si="3"/>
        <v>0</v>
      </c>
      <c r="M75" s="23">
        <f t="shared" si="3"/>
        <v>247258041147.6</v>
      </c>
      <c r="N75" s="32">
        <f t="shared" si="3"/>
        <v>488272063283.76</v>
      </c>
      <c r="O75" s="33">
        <f t="shared" si="3"/>
        <v>1.0000000000000004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41" t="s">
        <v>124</v>
      </c>
      <c r="C77" s="41"/>
      <c r="D77" s="41"/>
      <c r="E77" s="41"/>
      <c r="F77" s="41"/>
      <c r="H77" s="27"/>
      <c r="I77" s="27"/>
      <c r="L77" s="25"/>
      <c r="M77" s="25"/>
      <c r="P77" s="24"/>
      <c r="Q77" s="21"/>
    </row>
    <row r="78" spans="3:17" ht="27.6" customHeight="1">
      <c r="C78" s="42"/>
      <c r="D78" s="42"/>
      <c r="E78" s="42"/>
      <c r="F78" s="42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USR0103</cp:lastModifiedBy>
  <cp:lastPrinted>2019-01-29T09:26:50Z</cp:lastPrinted>
  <dcterms:created xsi:type="dcterms:W3CDTF">2017-06-09T07:51:20Z</dcterms:created>
  <dcterms:modified xsi:type="dcterms:W3CDTF">2019-01-29T09:29:12Z</dcterms:modified>
  <cp:category/>
  <cp:version/>
  <cp:contentType/>
  <cp:contentStatus/>
</cp:coreProperties>
</file>